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y Drive\Personal\June 2025\Strategic Finance\"/>
    </mc:Choice>
  </mc:AlternateContent>
  <xr:revisionPtr revIDLastSave="0" documentId="13_ncr:1_{55F5CE8A-93EC-4A8D-BDF7-6BBA30240B4C}" xr6:coauthVersionLast="47" xr6:coauthVersionMax="47" xr10:uidLastSave="{00000000-0000-0000-0000-000000000000}"/>
  <bookViews>
    <workbookView xWindow="-28920" yWindow="-120" windowWidth="29040" windowHeight="15720" tabRatio="718" xr2:uid="{00000000-000D-0000-FFFF-FFFF00000000}"/>
  </bookViews>
  <sheets>
    <sheet name="Exec Summary" sheetId="1" r:id="rId1"/>
    <sheet name="Assumptions" sheetId="2" r:id="rId2"/>
    <sheet name="Revenue Model" sheetId="3" r:id="rId3"/>
    <sheet name="OpEx Breakdown" sheetId="7" r:id="rId4"/>
    <sheet name="Competitive Analysis" sheetId="4" r:id="rId5"/>
    <sheet name="Finance Stack" sheetId="5" r:id="rId6"/>
    <sheet name="Source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8" i="7" l="1"/>
  <c r="G47" i="7"/>
  <c r="F47" i="7"/>
  <c r="E47" i="7"/>
  <c r="D47" i="7"/>
  <c r="C47" i="7"/>
  <c r="G46" i="7"/>
  <c r="F46" i="7"/>
  <c r="E46" i="7"/>
  <c r="D46" i="7"/>
  <c r="C46" i="7"/>
  <c r="G45" i="7"/>
  <c r="F45" i="7"/>
  <c r="E45" i="7"/>
  <c r="D45" i="7"/>
  <c r="C45" i="7"/>
  <c r="G44" i="7"/>
  <c r="F44" i="7"/>
  <c r="E44" i="7"/>
  <c r="D44" i="7"/>
  <c r="C44" i="7"/>
  <c r="C41" i="7"/>
  <c r="C40" i="7"/>
  <c r="G39" i="7"/>
  <c r="F39" i="7"/>
  <c r="E39" i="7"/>
  <c r="D39" i="7"/>
  <c r="C39" i="7"/>
  <c r="G37" i="7"/>
  <c r="F37" i="7"/>
  <c r="E37" i="7"/>
  <c r="D37" i="7"/>
  <c r="C37" i="7"/>
  <c r="G31" i="7"/>
  <c r="F31" i="7"/>
  <c r="E31" i="7"/>
  <c r="D31" i="7"/>
  <c r="C31" i="7"/>
  <c r="G26" i="7"/>
  <c r="F26" i="7"/>
  <c r="E26" i="7"/>
  <c r="D26" i="7"/>
  <c r="C26" i="7"/>
  <c r="G25" i="7"/>
  <c r="F25" i="7"/>
  <c r="E25" i="7"/>
  <c r="D25" i="7"/>
  <c r="G23" i="7"/>
  <c r="F23" i="7"/>
  <c r="E23" i="7"/>
  <c r="D23" i="7"/>
  <c r="G20" i="7"/>
  <c r="F20" i="7"/>
  <c r="E20" i="7"/>
  <c r="D20" i="7"/>
  <c r="C20" i="7"/>
  <c r="G19" i="7"/>
  <c r="F19" i="7"/>
  <c r="E19" i="7"/>
  <c r="D19" i="7"/>
  <c r="G18" i="7"/>
  <c r="F18" i="7"/>
  <c r="E18" i="7"/>
  <c r="D18" i="7"/>
  <c r="G17" i="7"/>
  <c r="F17" i="7"/>
  <c r="E17" i="7"/>
  <c r="D17" i="7"/>
  <c r="G14" i="7"/>
  <c r="F14" i="7"/>
  <c r="E14" i="7"/>
  <c r="D14" i="7"/>
  <c r="C14" i="7"/>
  <c r="G12" i="7"/>
  <c r="F12" i="7"/>
  <c r="E12" i="7"/>
  <c r="D12" i="7"/>
  <c r="C12" i="7"/>
  <c r="R32" i="3"/>
  <c r="Q32" i="3"/>
  <c r="P32" i="3"/>
  <c r="O32" i="3"/>
  <c r="L32" i="3"/>
  <c r="K32" i="3"/>
  <c r="J32" i="3"/>
  <c r="I32" i="3"/>
  <c r="F32" i="3"/>
  <c r="E32" i="3"/>
  <c r="D32" i="3"/>
  <c r="C32" i="3"/>
  <c r="R9" i="3"/>
  <c r="Q9" i="3"/>
  <c r="P9" i="3"/>
  <c r="O9" i="3"/>
  <c r="L9" i="3"/>
  <c r="K9" i="3"/>
  <c r="J9" i="3"/>
  <c r="I9" i="3"/>
  <c r="F9" i="3"/>
  <c r="E9" i="3"/>
  <c r="D9" i="3"/>
  <c r="C9" i="3"/>
  <c r="N31" i="3"/>
  <c r="E31" i="3"/>
  <c r="B31" i="3"/>
  <c r="N10" i="3"/>
  <c r="H10" i="3"/>
  <c r="B10" i="3"/>
  <c r="E5" i="2"/>
  <c r="N7" i="3" s="1"/>
  <c r="D5" i="2"/>
  <c r="H7" i="3" s="1"/>
  <c r="H15" i="3" s="1"/>
  <c r="C5" i="2"/>
  <c r="B7" i="3" s="1"/>
  <c r="B8" i="3" s="1"/>
  <c r="B13" i="3" s="1"/>
  <c r="N26" i="3"/>
  <c r="N22" i="3"/>
  <c r="O22" i="3" s="1"/>
  <c r="P22" i="3" s="1"/>
  <c r="Q22" i="3" s="1"/>
  <c r="R22" i="3" s="1"/>
  <c r="R31" i="3" s="1"/>
  <c r="N9" i="3"/>
  <c r="H26" i="3"/>
  <c r="H22" i="3"/>
  <c r="I22" i="3" s="1"/>
  <c r="J22" i="3" s="1"/>
  <c r="K22" i="3" s="1"/>
  <c r="L22" i="3" s="1"/>
  <c r="L31" i="3" s="1"/>
  <c r="H9" i="3"/>
  <c r="H16" i="3" s="1"/>
  <c r="B26" i="3"/>
  <c r="B22" i="3"/>
  <c r="C22" i="3" s="1"/>
  <c r="D22" i="3" s="1"/>
  <c r="E22" i="3" s="1"/>
  <c r="F22" i="3" s="1"/>
  <c r="F31" i="3" s="1"/>
  <c r="B9" i="3"/>
  <c r="B32" i="3" l="1"/>
  <c r="B33" i="3" s="1"/>
  <c r="C31" i="3"/>
  <c r="C33" i="3" s="1"/>
  <c r="D31" i="3"/>
  <c r="O33" i="3"/>
  <c r="J31" i="3"/>
  <c r="H31" i="3"/>
  <c r="N32" i="3"/>
  <c r="N33" i="3" s="1"/>
  <c r="Q31" i="3"/>
  <c r="H32" i="3"/>
  <c r="K31" i="3"/>
  <c r="O31" i="3"/>
  <c r="I31" i="3"/>
  <c r="P31" i="3"/>
  <c r="B16" i="3"/>
  <c r="N8" i="3"/>
  <c r="N13" i="3" s="1"/>
  <c r="N15" i="3"/>
  <c r="N16" i="3"/>
  <c r="N17" i="3"/>
  <c r="H17" i="3"/>
  <c r="B17" i="3"/>
  <c r="N14" i="3"/>
  <c r="B15" i="3"/>
  <c r="B14" i="3"/>
  <c r="C17" i="3"/>
  <c r="C16" i="3"/>
  <c r="O17" i="3"/>
  <c r="O16" i="3"/>
  <c r="H8" i="3"/>
  <c r="H13" i="3" s="1"/>
  <c r="I33" i="3"/>
  <c r="I7" i="3"/>
  <c r="I10" i="3" s="1"/>
  <c r="C7" i="3"/>
  <c r="C10" i="3" s="1"/>
  <c r="H14" i="3"/>
  <c r="O7" i="3"/>
  <c r="O10" i="3" s="1"/>
  <c r="D33" i="3" l="1"/>
  <c r="P33" i="3"/>
  <c r="H33" i="3"/>
  <c r="B21" i="3"/>
  <c r="B23" i="3" s="1"/>
  <c r="N21" i="3"/>
  <c r="N23" i="3" s="1"/>
  <c r="N27" i="3" s="1"/>
  <c r="N18" i="3"/>
  <c r="N30" i="3" s="1"/>
  <c r="B18" i="3"/>
  <c r="B30" i="3" s="1"/>
  <c r="C8" i="3"/>
  <c r="C13" i="3" s="1"/>
  <c r="C15" i="3"/>
  <c r="C14" i="3"/>
  <c r="D7" i="3"/>
  <c r="D10" i="3" s="1"/>
  <c r="I15" i="3"/>
  <c r="I14" i="3"/>
  <c r="I8" i="3"/>
  <c r="I13" i="3" s="1"/>
  <c r="J7" i="3"/>
  <c r="J10" i="3" s="1"/>
  <c r="I16" i="3"/>
  <c r="J33" i="3"/>
  <c r="I17" i="3"/>
  <c r="H18" i="3"/>
  <c r="H30" i="3" s="1"/>
  <c r="H21" i="3"/>
  <c r="H23" i="3" s="1"/>
  <c r="B27" i="3"/>
  <c r="E33" i="3"/>
  <c r="D16" i="3"/>
  <c r="D17" i="3"/>
  <c r="O8" i="3"/>
  <c r="O13" i="3" s="1"/>
  <c r="P7" i="3"/>
  <c r="P10" i="3" s="1"/>
  <c r="O15" i="3"/>
  <c r="O14" i="3"/>
  <c r="Q33" i="3"/>
  <c r="P17" i="3"/>
  <c r="P16" i="3"/>
  <c r="N29" i="3" l="1"/>
  <c r="B29" i="3"/>
  <c r="I21" i="3"/>
  <c r="I23" i="3" s="1"/>
  <c r="I18" i="3"/>
  <c r="I30" i="3" s="1"/>
  <c r="H29" i="3"/>
  <c r="H27" i="3"/>
  <c r="R33" i="3"/>
  <c r="Q17" i="3"/>
  <c r="Q16" i="3"/>
  <c r="P8" i="3"/>
  <c r="P13" i="3" s="1"/>
  <c r="P15" i="3"/>
  <c r="Q7" i="3"/>
  <c r="Q10" i="3" s="1"/>
  <c r="P14" i="3"/>
  <c r="D8" i="3"/>
  <c r="D13" i="3" s="1"/>
  <c r="E7" i="3"/>
  <c r="E10" i="3" s="1"/>
  <c r="D15" i="3"/>
  <c r="D14" i="3"/>
  <c r="O21" i="3"/>
  <c r="O23" i="3" s="1"/>
  <c r="O18" i="3"/>
  <c r="O30" i="3" s="1"/>
  <c r="J17" i="3"/>
  <c r="J16" i="3"/>
  <c r="K33" i="3"/>
  <c r="F33" i="3"/>
  <c r="E17" i="3"/>
  <c r="E16" i="3"/>
  <c r="C21" i="3"/>
  <c r="C23" i="3" s="1"/>
  <c r="C27" i="3" s="1"/>
  <c r="C18" i="3"/>
  <c r="C30" i="3" s="1"/>
  <c r="K7" i="3"/>
  <c r="K10" i="3" s="1"/>
  <c r="J15" i="3"/>
  <c r="J8" i="3"/>
  <c r="J13" i="3" s="1"/>
  <c r="J14" i="3"/>
  <c r="I27" i="3" l="1"/>
  <c r="C29" i="3"/>
  <c r="D21" i="3"/>
  <c r="D23" i="3" s="1"/>
  <c r="D18" i="3"/>
  <c r="D30" i="3" s="1"/>
  <c r="E14" i="3"/>
  <c r="E8" i="3"/>
  <c r="E13" i="3" s="1"/>
  <c r="F7" i="3"/>
  <c r="F10" i="3" s="1"/>
  <c r="E15" i="3"/>
  <c r="K17" i="3"/>
  <c r="K16" i="3"/>
  <c r="L33" i="3"/>
  <c r="L7" i="3"/>
  <c r="L10" i="3" s="1"/>
  <c r="K15" i="3"/>
  <c r="K14" i="3"/>
  <c r="K8" i="3"/>
  <c r="K13" i="3" s="1"/>
  <c r="Q14" i="3"/>
  <c r="Q15" i="3"/>
  <c r="Q8" i="3"/>
  <c r="Q13" i="3" s="1"/>
  <c r="R7" i="3"/>
  <c r="R10" i="3" s="1"/>
  <c r="F17" i="3"/>
  <c r="F16" i="3"/>
  <c r="J21" i="3"/>
  <c r="J23" i="3" s="1"/>
  <c r="J18" i="3"/>
  <c r="J30" i="3" s="1"/>
  <c r="R16" i="3"/>
  <c r="R17" i="3"/>
  <c r="O29" i="3"/>
  <c r="O27" i="3"/>
  <c r="P21" i="3"/>
  <c r="P23" i="3" s="1"/>
  <c r="P18" i="3"/>
  <c r="P30" i="3" s="1"/>
  <c r="I29" i="3"/>
  <c r="K18" i="3" l="1"/>
  <c r="K30" i="3" s="1"/>
  <c r="K21" i="3"/>
  <c r="K23" i="3" s="1"/>
  <c r="E21" i="3"/>
  <c r="E23" i="3" s="1"/>
  <c r="E18" i="3"/>
  <c r="E30" i="3" s="1"/>
  <c r="F15" i="3"/>
  <c r="F14" i="3"/>
  <c r="F8" i="3"/>
  <c r="F13" i="3" s="1"/>
  <c r="J29" i="3"/>
  <c r="P29" i="3"/>
  <c r="L8" i="3"/>
  <c r="L13" i="3" s="1"/>
  <c r="L15" i="3"/>
  <c r="L14" i="3"/>
  <c r="D29" i="3"/>
  <c r="P27" i="3"/>
  <c r="R15" i="3"/>
  <c r="R14" i="3"/>
  <c r="R8" i="3"/>
  <c r="R13" i="3" s="1"/>
  <c r="L17" i="3"/>
  <c r="L16" i="3"/>
  <c r="J27" i="3"/>
  <c r="Q21" i="3"/>
  <c r="Q23" i="3" s="1"/>
  <c r="Q18" i="3"/>
  <c r="Q30" i="3" s="1"/>
  <c r="D27" i="3"/>
  <c r="E27" i="3" s="1"/>
  <c r="K27" i="3" l="1"/>
  <c r="Q29" i="3"/>
  <c r="K29" i="3"/>
  <c r="F18" i="3"/>
  <c r="F30" i="3" s="1"/>
  <c r="F21" i="3"/>
  <c r="F23" i="3" s="1"/>
  <c r="F27" i="3" s="1"/>
  <c r="Q27" i="3"/>
  <c r="E29" i="3"/>
  <c r="L21" i="3"/>
  <c r="L23" i="3" s="1"/>
  <c r="L27" i="3" s="1"/>
  <c r="L18" i="3"/>
  <c r="L30" i="3" s="1"/>
  <c r="R21" i="3"/>
  <c r="R23" i="3" s="1"/>
  <c r="R18" i="3"/>
  <c r="R30" i="3" s="1"/>
  <c r="R29" i="3" l="1"/>
  <c r="L29" i="3"/>
  <c r="R27" i="3"/>
  <c r="F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Fahad Younus</author>
  </authors>
  <commentList>
    <comment ref="B43" authorId="0" shapeId="0" xr:uid="{17D36FDF-BC80-4FF2-A742-FEA673724E1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GetDefacto/Future Market Insights, https://www.getdefacto.com/article/embedded-credit-laas-fintech-stats</t>
        </r>
      </text>
    </comment>
    <comment ref="B44" authorId="0" shapeId="0" xr:uid="{A0ABBC77-EFD4-46C6-AD30-6B0F046FE245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Portage Ventures Research, https://portageinvest.com/wp-content/uploads/2025/07/Portage-Next-Wave-of-Embedded-Finance.pdf</t>
        </r>
      </text>
    </comment>
    <comment ref="B45" authorId="0" shapeId="0" xr:uid="{26C075AF-04E1-4EAD-A8D7-24E1B068B999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WEX Inc. Press Release, https://www.businesswire.com/news/home/20260127634112/en/WEX-Unveils-First-of-its-Kind-Fleet-Card-Unifying-Fueling-and-Public-EV-Charging-Payments</t>
        </r>
      </text>
    </comment>
    <comment ref="B47" authorId="0" shapeId="0" xr:uid="{EB766444-8041-4547-B994-6563D697C25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AtoB Blog, https://www.atob.com/blog/best-fleet-fuel-management-systems</t>
        </r>
      </text>
    </comment>
    <comment ref="B51" authorId="0" shapeId="0" xr:uid="{F3A71089-310F-431A-8E32-A255E0741E8B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GlobeNewsWire/ResearchAndMarkets, https://www.globenewswire.com/news-release/2026/02/26/3245809/28124/en/Fuel-Cards-Industry-Report-2026-2035-A-1-66-Trillion-Market-by-2030-with-Exxon-Mobil-TotalEnergies-Valero-Chevron-and-BP-Leading.html; Grand View Research, https://www.grandviewresearch.com/industry-analysis/us-fuel-card-market-report</t>
        </r>
      </text>
    </comment>
    <comment ref="B52" authorId="0" shapeId="0" xr:uid="{73B50290-CFC0-4953-A4F2-A139CB72860D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Roots Analysis, https://www.rootsanalysis.com/fleet-management-market</t>
        </r>
      </text>
    </comment>
    <comment ref="B53" authorId="0" shapeId="0" xr:uid="{4504F50E-233E-416F-B026-698B050B718D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Business Research Insights, https://www.businessresearchinsights.com/market-reports/fuel-card-market-127905</t>
        </r>
      </text>
    </comment>
    <comment ref="B54" authorId="0" shapeId="0" xr:uid="{8F427397-A52F-4BBB-A4A2-47A79D53D3EC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FinWise Bank/Future Market Insights, https://www.finwise.bank/news/fintech/2025-lending-trends-automation-embedded-finance-economic-shifts/</t>
        </r>
      </text>
    </comment>
    <comment ref="B55" authorId="0" shapeId="0" xr:uid="{6BA26872-950D-4ECC-B4F1-649E96058DE6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Valgen/ProsperFleet, https://www.valgen.com/how-to-successfully-sell-in-the-rapidly-evolving-commercial-fleet-market/</t>
        </r>
      </text>
    </comment>
    <comment ref="B56" authorId="0" shapeId="0" xr:uid="{2051162A-2A77-44F4-B4DE-B0C21227C79D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WEX Inc. Investor Relations, https://ir.wexinc.com/news/news-details/2025/WEX-Inc.-Reports-Fourth-Quarter-and-Full-Year-2024-Financial-Results/default.aspx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Fahad Younus</author>
  </authors>
  <commentList>
    <comment ref="C5" authorId="0" shapeId="0" xr:uid="{9BBE1F36-EB9D-400E-9532-C0249C3A9E15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Derived: Active Drivers × Gallons/Driver/Yr × Avg Fuel Price. Industry avg ~9,500 gal/driver/yr per FHWA (Class 8: 62,169 mi/yr ÷ 6.5 MPG). Source: https://www.bobtail.com/blog/how-much-do-trucking-businesses-pay-for-fuel/</t>
        </r>
      </text>
    </comment>
    <comment ref="D5" authorId="0" shapeId="0" xr:uid="{7783F188-6DF4-45B9-B90B-9635A64C83FF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Derived: Active Drivers × Gallons/Driver/Yr × Avg Fuel Price. Industry avg ~9,500 gal/driver/yr per FHWA (Class 8: 62,169 mi/yr ÷ 6.5 MPG). Source: https://www.bobtail.com/blog/how-much-do-trucking-businesses-pay-for-fuel/</t>
        </r>
      </text>
    </comment>
    <comment ref="E5" authorId="0" shapeId="0" xr:uid="{2896A326-82CC-46A8-992E-C807389AFD5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Derived: Active Drivers × Gallons/Driver/Yr × Avg Fuel Price. Industry avg ~9,500 gal/driver/yr per FHWA (Class 8: 62,169 mi/yr ÷ 6.5 MPG). Source: https://www.bobtail.com/blog/how-much-do-trucking-businesses-pay-for-fuel/</t>
        </r>
      </text>
    </comment>
    <comment ref="C6" authorId="0" shapeId="0" xr:uid="{A2509FEF-FA4C-4281-8B71-D3D7B1A4716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Company reports 10,000+ drivers supported. Conservative assumes partial share-of-wallet capture and slower onboarding.</t>
        </r>
      </text>
    </comment>
    <comment ref="D6" authorId="0" shapeId="0" xr:uid="{ED832B77-243A-48A4-909C-663029F6DA07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Company Exec Summary states '10,000+ drivers supported.' Base case uses current reported figure.</t>
        </r>
      </text>
    </comment>
    <comment ref="E6" authorId="0" shapeId="0" xr:uid="{F6A035BD-1E3D-4AA6-90DF-B26DA4F3EDCC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Blitz scale assumes aggressive driver acquisition beyond current 10K+ base, targeting sub-10-truck carrier segment (91.5% of market per ATA 2025).</t>
        </r>
      </text>
    </comment>
    <comment ref="C7" authorId="0" shapeId="0" xr:uid="{6532E5C7-3D8B-44E5-8335-E5B700A90A0A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Bobtail/FHWA — Avg Class 8 truck consumes ~9,564 gal/yr (62,169 mi ÷ 6.5 MPG). Conservative reflects partial wallet capture (~79% of industry avg). https://www.bobtail.com/blog/how-much-do-trucking-businesses-pay-for-fuel/</t>
        </r>
      </text>
    </comment>
    <comment ref="D7" authorId="0" shapeId="0" xr:uid="{F31B1811-261C-4BAD-A509-4024603940F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Bobtail/FHWA — Avg Class 8 truck consumes ~9,564 gal/yr (62,169 mi at 6.5 MPG avg fuel economy). Rounded to 9,500. https://www.bobtail.com/blog/how-much-do-trucking-businesses-pay-for-fuel/</t>
        </r>
      </text>
    </comment>
    <comment ref="E7" authorId="0" shapeId="0" xr:uid="{0222590F-DF07-4881-832A-CA59701F918A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Bobtail/FHWA — Avg Class 8 truck consumes ~9,564 gal/yr (62,169 mi at 6.5 MPG avg fuel economy). Rounded to 9,500. https://www.bobtail.com/blog/how-much-do-trucking-businesses-pay-for-fuel/</t>
        </r>
      </text>
    </comment>
    <comment ref="C12" authorId="0" shapeId="0" xr:uid="{2785BCDA-0C9E-40C3-8D99-6BE99918C740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EFS reseller fuel spread range $0.02-$0.07/gal per industry reports. Conservative uses low end of range.</t>
        </r>
      </text>
    </comment>
    <comment ref="D12" authorId="0" shapeId="0" xr:uid="{20C7B6C4-39FD-4A64-9D6E-8DAB3DC1C8F9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EFS reseller fuel spread range $0.02-$0.07/gal per industry reports. Base case uses mid-range.</t>
        </r>
      </text>
    </comment>
    <comment ref="E12" authorId="0" shapeId="0" xr:uid="{0E9A07F3-41B5-430E-AAC6-E264166BDC29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EFS reseller fuel spread range $0.02-$0.07/gal per industry reports. Blitz uses high end reflecting volume negotiating power.</t>
        </r>
      </text>
    </comment>
    <comment ref="C13" authorId="0" shapeId="0" xr:uid="{0EBE30CC-0516-41E8-81E4-BF3E0CB07AAA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EIA projects diesel avg ~$3.47/gal in 2026 (down 5-7% from 2025). FleetRabbit/EIA, https://fleetrabbit.com/blogs/post/2026-fuel-efficiency-guide-truckers; ELDT Nation/EIA, https://www.eldtnation.com/blog/how-fuel-prices-affect-truck-drivers-2025-outlook</t>
        </r>
      </text>
    </comment>
    <comment ref="D13" authorId="0" shapeId="0" xr:uid="{F74EC13F-906F-4692-94C1-26F568574FD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EIA projects diesel avg ~$3.47/gal in 2026 (down 5-7% from 2025). FleetRabbit/EIA, https://fleetrabbit.com/blogs/post/2026-fuel-efficiency-guide-truckers</t>
        </r>
      </text>
    </comment>
    <comment ref="E13" authorId="0" shapeId="0" xr:uid="{663322A4-196C-4532-AF09-A73612784F78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EIA projects diesel avg ~$3.47/gal in 2026 (down 5-7% from 2025). FleetRabbit/EIA, https://fleetrabbit.com/blogs/post/2026-fuel-efficiency-guide-truckers</t>
        </r>
      </text>
    </comment>
    <comment ref="C16" authorId="0" shapeId="0" xr:uid="{05E58E4E-1C5F-4799-9286-EDFC17109CBA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Company Exec Summary states 10,000+ drivers ÷ ~30 drivers per fleet avg = ~333 fleets. Conservative assumes lower count (200) reflecting slower sales.</t>
        </r>
      </text>
    </comment>
    <comment ref="D16" authorId="0" shapeId="0" xr:uid="{6F8D2AE3-B494-4BEF-AD5A-5653896EDD8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Company Exec Summary states 10,000+ drivers. At ~30 drivers per fleet avg = ~333 fleets. Base uses 350 as reasonable estimate.</t>
        </r>
      </text>
    </comment>
    <comment ref="E16" authorId="0" shapeId="0" xr:uid="{66FDD43A-E85C-4D94-A826-135BFE9E555B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91.5% of carriers operate ≤10 trucks (ATA 2025). Blitz targets this massive SMB segment with higher fleet count but smaller avg fleet size.</t>
        </r>
      </text>
    </comment>
    <comment ref="C18" authorId="0" shapeId="0" xr:uid="{C428FD4E-E76E-45EA-B93A-D61CCB892A9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Fintech annual churn 12-24% is acceptable (WeAreFounders 2026 SaaS Benchmarks). Conservative assumes higher churn (20%) — weaker product-market fit, less sticky platform. https://www.wearefounders.uk/saas-churn-rates-and-customer-acquisition-costs-by-industry-2025-data/</t>
        </r>
      </text>
    </comment>
    <comment ref="D18" authorId="0" shapeId="0" xr:uid="{A5C63836-A7A5-46F0-BCC3-2489E385DA3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Fintech annual churn 12-24% is acceptable (WeAreFounders 2026 SaaS Benchmarks). Base assumes mid-range (15%) — fuel cards have moderate switching costs (IFTA data, driver training, payment terms). https://www.wearefounders.uk/saas-churn-rates-and-customer-acquisition-costs-by-industry-2025-data/</t>
        </r>
      </text>
    </comment>
    <comment ref="E18" authorId="0" shapeId="0" xr:uid="{DF9B51AF-4948-4A07-898F-633CAA97AC89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Fintech annual churn ~12% for leading platforms (WeAreFounders 2026 SaaS Benchmarks). Blitz assumes best-in-class retention — deeper platform integration, AI features, EV charging lock-in. https://www.wearefounders.uk/saas-churn-rates-and-customer-acquisition-costs-by-industry-2025-data/</t>
        </r>
      </text>
    </comment>
    <comment ref="C19" authorId="0" shapeId="0" xr:uid="{45F5E8D2-4D69-43FA-8816-1E884C46C08D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WEX (NYSE: WEX) late fee revenue represents fees charged for payments not made within customer agreement terms, based on outstanding receivable balance. WEX earns ~20% of fleet revenue from fees at scale. https://ir.wexinc.com/news/news-details/2025/WEX-Inc.-Reports-Fourth-Quarter-and-Full-Year-2024-Financial-Results/default.aspx</t>
        </r>
      </text>
    </comment>
    <comment ref="D19" authorId="0" shapeId="0" xr:uid="{DD88FC08-2B6C-43CD-9E40-4D5F67A804F7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WEX late fee revenue model — fees on outstanding receivable balance. WEX earns ~20% of fleet revenue from fees at scale. https://ir.wexinc.com/news/news-details/2025/WEX-Inc.-Reports-Fourth-Quarter-and-Full-Year-2024-Financial-Results/default.aspx</t>
        </r>
      </text>
    </comment>
    <comment ref="E19" authorId="0" shapeId="0" xr:uid="{903B0962-2B02-456C-B709-94DF8C645C2C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Source: WEX late fee revenue model — fees on outstanding receivable balance. Blitz scale assumes higher late fee capture due to larger SMB carrier base with weaker cash positions. https://ir.wexinc.com/news/news-details/2025/WEX-Inc.-Reports-Fourth-Quarter-and-Full-Year-2024-Financial-Results/default.aspx</t>
        </r>
      </text>
    </comment>
    <comment ref="C22" authorId="0" shapeId="0" xr:uid="{E59325CA-B82B-4542-B443-E69284902D32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Bottom-up build: 30 staff × ~$131K fully-loaded avg (Toronto fintech avg $112K base per Wellfound 2025, +25% benefits/tax) = $3.94M comp + $360K cloud/infra + $200K compliance/legal + $180K office + $300K marketing + $120K tools + $100K misc = $5.2M. Source: Wellfound Toronto Fintech Salary Data 2025, https://wellfound.com/hiring-data/l/toronto/i/fintech-2</t>
        </r>
      </text>
    </comment>
    <comment ref="D22" authorId="0" shapeId="0" xr:uid="{276F75FD-72FE-4925-8DA5-C6336E184FE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Bottom-up build: 32 staff × ~$137K fully-loaded avg (Toronto fintech avg $112K base per Wellfound 2025, +25% benefits/tax, slight seniority premium) = $4.40M comp + $420K cloud/infra + $250K compliance/legal + $200K office + $500K marketing + $150K tools + $130K misc = $6.05M. Source: Wellfound Toronto Fintech Salary Data 2025, https://wellfound.com/hiring-data/l/toronto/i/fintech-2</t>
        </r>
      </text>
    </comment>
    <comment ref="E22" authorId="0" shapeId="0" xr:uid="{C0362235-5907-4075-BFB4-30F56CA19F56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Bottom-up build: 35 staff × ~$144K fully-loaded avg (Toronto fintech avg $112K base per Wellfound 2025, +25% benefits/tax, seniority/specialized roles premium) = $5.04M comp + $480K cloud/infra + $300K compliance/legal + $240K office + $750K marketing + $200K tools + $180K misc = $7.2M. Source: Wellfound Toronto Fintech Salary Data 2025, https://wellfound.com/hiring-data/l/toronto/i/fintech-2</t>
        </r>
      </text>
    </comment>
    <comment ref="C24" authorId="0" shapeId="0" xr:uid="{B41323F8-CDA6-406F-A638-64C656DDAAD9}">
      <text>
        <r>
          <rPr>
            <b/>
            <sz val="9"/>
            <color indexed="81"/>
            <rFont val="Tahoma"/>
            <family val="2"/>
          </rPr>
          <t>S&amp;M = ~$1.14M of $5.2M OpEx (22%). Includes 1-2 sales reps + marketing budget. Lean team, minimal outbound.</t>
        </r>
      </text>
    </comment>
    <comment ref="D24" authorId="0" shapeId="0" xr:uid="{E824BB47-19E9-4702-896A-247588566352}">
      <text>
        <r>
          <rPr>
            <b/>
            <sz val="9"/>
            <color indexed="81"/>
            <rFont val="Tahoma"/>
            <family val="2"/>
          </rPr>
          <t>S&amp;M = ~$1.69M of $6.05M OpEx (28%). Includes 2-3 sales reps + SDR + marketing. Standard seed-stage fintech S&amp;M allocation.</t>
        </r>
      </text>
    </comment>
    <comment ref="E24" authorId="0" shapeId="0" xr:uid="{AD2BCA2C-0F28-4E16-9781-7B5F1298E735}">
      <text>
        <r>
          <rPr>
            <b/>
            <sz val="9"/>
            <color indexed="81"/>
            <rFont val="Tahoma"/>
            <family val="2"/>
          </rPr>
          <t>S&amp;M = ~$2.52M of $7.2M OpEx (35%). Aggressive sales hiring: 4-5 reps + SDRs + field marketing. Growth-stage fintech benchmark.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Fahad Younus</author>
  </authors>
  <commentList>
    <comment ref="B32" authorId="0" shapeId="0" xr:uid="{D478965E-30D6-4A14-975E-BDF7A6C6F21C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Year 1: all fleet customers are new acquisitions</t>
        </r>
      </text>
    </comment>
    <comment ref="C32" authorId="0" shapeId="0" xr:uid="{0D58D5D9-164D-4552-A921-78B367D0B64A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Gross new fleets acquired (before churn). CAC is calculated on this number since marketing spend buys new fleets, not retained ones.</t>
        </r>
      </text>
    </comment>
    <comment ref="H32" authorId="0" shapeId="0" xr:uid="{A3B8B509-B04A-4168-9660-FA131F5D0F87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Year 1: all fleet customers are new acquisitions</t>
        </r>
      </text>
    </comment>
    <comment ref="I32" authorId="0" shapeId="0" xr:uid="{CA16D076-3F93-44EA-A382-7EE86A95FAD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Gross new fleets acquired (before churn). CAC is calculated on this number since marketing spend buys new fleets, not retained ones.</t>
        </r>
      </text>
    </comment>
    <comment ref="N32" authorId="0" shapeId="0" xr:uid="{6F9ABC58-712C-4D79-B0B8-904845E9DBE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Year 1: all fleet customers are new acquisitions</t>
        </r>
      </text>
    </comment>
    <comment ref="O32" authorId="0" shapeId="0" xr:uid="{18E4D01C-B4A0-4C77-8EC4-619A5E3982A6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Gross new fleets acquired (before churn). CAC is calculated on this number since marketing spend buys new fleets, not retained ones.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Fahad Younus</author>
  </authors>
  <commentList>
    <comment ref="C13" authorId="0" shapeId="0" xr:uid="{027B4BBF-1FF1-4D15-977A-7476C8C59B27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Toronto fintech avg $112K base (Wellfound 2025) + 25% benefits/tax/equity = ~$140K. Blended avg across roles. Source: https://wellfound.com/hiring-data/l/toronto/i/fintech-2</t>
        </r>
      </text>
    </comment>
    <comment ref="C17" authorId="0" shapeId="0" xr:uid="{B9AC6DAA-6512-4347-A1DC-3715AEAF6DA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Cloud infra scales with transaction volume. Fintech benchmark: $20-30K/mo at seed stage. Source: financialmodelslab.com fintech startup costs</t>
        </r>
      </text>
    </comment>
    <comment ref="C18" authorId="0" shapeId="0" xr:uid="{D0BD54B2-B4D8-4EAC-87FC-29DFDC04E16B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CRM, analytics, monitoring, dev tools, comms. Scales with headcount.</t>
        </r>
      </text>
    </comment>
    <comment ref="C19" authorId="0" shapeId="0" xr:uid="{CF299AE3-A9BF-4860-AAF6-AED71BBD3A26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Non-negotiable for fintech handling payment data. PCI-DSS compliance, fraud monitoring, pen testing.</t>
        </r>
      </text>
    </comment>
    <comment ref="C25" authorId="0" shapeId="0" xr:uid="{B48035FA-E0FC-4739-A37F-2EE39D4AC0CC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Commission on new fleet acquisition. ~$600/fleet at 200 fleets.</t>
        </r>
      </text>
    </comment>
    <comment ref="C29" authorId="0" shapeId="0" xr:uid="{00232CAA-05DC-4DF2-9A9A-11815B4554D3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IFTA cross-border compliance, payment regulation, contract review. Fintech benchmark: $10-15K/mo. Source: businessplansuite.com</t>
        </r>
      </text>
    </comment>
    <comment ref="C34" authorId="0" shapeId="0" xr:uid="{28D1FB54-9510-4BFE-A668-CF72272D1B19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Toronto co-working/office space. ~$15-18K/mo. Scales with headcount.</t>
        </r>
      </text>
    </comment>
    <comment ref="C36" authorId="0" shapeId="0" xr:uid="{CB3D8BB4-A62E-4E66-B870-1EA6D20BB72E}">
      <text>
        <r>
          <rPr>
            <b/>
            <sz val="9"/>
            <color indexed="81"/>
            <rFont val="Tahoma"/>
            <family val="2"/>
          </rPr>
          <t>Fahad Younus:</t>
        </r>
        <r>
          <rPr>
            <sz val="9"/>
            <color indexed="81"/>
            <rFont val="Tahoma"/>
            <family val="2"/>
          </rPr>
          <t xml:space="preserve">
Travel, meals, office supplies, professional development. ~5-10% contingency buffer.</t>
        </r>
      </text>
    </comment>
  </commentList>
</comments>
</file>

<file path=xl/sharedStrings.xml><?xml version="1.0" encoding="utf-8"?>
<sst xmlns="http://schemas.openxmlformats.org/spreadsheetml/2006/main" count="647" uniqueCount="534">
  <si>
    <t>FLEET FUEL FINTECH — BUSINESS MODEL ANALYSIS</t>
  </si>
  <si>
    <t>Anonymized Case Study | Prepared April 2026 | For LinkedIn Discussion</t>
  </si>
  <si>
    <t>COMPANY PROFILE</t>
  </si>
  <si>
    <t>Business Type</t>
  </si>
  <si>
    <t>Fleet fuel card + AI-powered fuel management SaaS platform</t>
  </si>
  <si>
    <t>Headquarters</t>
  </si>
  <si>
    <t>Founded</t>
  </si>
  <si>
    <t>Funding</t>
  </si>
  <si>
    <t>Next Round</t>
  </si>
  <si>
    <t>Series A targeted Q2-Q3 2026</t>
  </si>
  <si>
    <t>Employees</t>
  </si>
  <si>
    <t>Drivers Supported</t>
  </si>
  <si>
    <t>10,000+</t>
  </si>
  <si>
    <t>Transaction Volume</t>
  </si>
  <si>
    <t>Platform Fee</t>
  </si>
  <si>
    <t>$0 — revenue from fuel spread and network economics</t>
  </si>
  <si>
    <t>INDUSTRY CONTEXT</t>
  </si>
  <si>
    <t>NA Trucking Market</t>
  </si>
  <si>
    <t>$1.04 trillion (2025, Fortune Business Insights)</t>
  </si>
  <si>
    <t>US Gross Freight Revenue</t>
  </si>
  <si>
    <t>$940.8 billion (ATA)</t>
  </si>
  <si>
    <t>US Truck Drivers</t>
  </si>
  <si>
    <t>3.55 million (BLS/ATA 2025)</t>
  </si>
  <si>
    <t>Fuel as % of Costs</t>
  </si>
  <si>
    <t>24-35% of gross revenue (ATRI)</t>
  </si>
  <si>
    <t>Annual Diesel Consumption</t>
  </si>
  <si>
    <t>~54 billion gallons (US industry total)</t>
  </si>
  <si>
    <t>AI Fleet Mgmt Software TAM</t>
  </si>
  <si>
    <t>$14.4B projected by 2030 (Geotab)</t>
  </si>
  <si>
    <t>Carrier Structure</t>
  </si>
  <si>
    <t>91.5% operate 10 or fewer trucks (ATA 2025)</t>
  </si>
  <si>
    <t>Industry Growth Rate</t>
  </si>
  <si>
    <t>3.5-4.1% CAGR through 2035</t>
  </si>
  <si>
    <t>BUSINESS MODEL</t>
  </si>
  <si>
    <t>Wedge Product</t>
  </si>
  <si>
    <t>Fuel card (2nd largest fleet expense after labor)</t>
  </si>
  <si>
    <t>Payment Rails</t>
  </si>
  <si>
    <t>EFS network (owned by WEX Inc.) — 10K+ locations</t>
  </si>
  <si>
    <t>Revenue Model</t>
  </si>
  <si>
    <t>Fuel spread per gallon + merchant rebates + late fees</t>
  </si>
  <si>
    <t>Expansion Strategy</t>
  </si>
  <si>
    <t>Fuel → route optimization → financing → full fleet OS</t>
  </si>
  <si>
    <t>Differentiation Claim</t>
  </si>
  <si>
    <t>AI-powered dashboards, real-time fraud detection, cross-border CA/US</t>
  </si>
  <si>
    <t>Pricing</t>
  </si>
  <si>
    <t>$0 platform fee; earn on per-gallon margin</t>
  </si>
  <si>
    <t>KEY RISKS</t>
  </si>
  <si>
    <t>Competitive Risk</t>
  </si>
  <si>
    <t>AtoB ($346M raised), Coast ($118M), WEX ($2.66B rev) all offer similar features</t>
  </si>
  <si>
    <t>Platform Dependency</t>
  </si>
  <si>
    <t>Built on EFS/WEX rails — limited switching power</t>
  </si>
  <si>
    <t>Margin Risk</t>
  </si>
  <si>
    <t>Per-gallon spreads are thin ($0.02-0.07); requires massive volume</t>
  </si>
  <si>
    <t>Capital Risk</t>
  </si>
  <si>
    <t>Differentiation Risk</t>
  </si>
  <si>
    <t>AI dashboards are now table stakes across all competitors</t>
  </si>
  <si>
    <t>Concentration Risk</t>
  </si>
  <si>
    <t>Small client base; loss of one large fleet is material</t>
  </si>
  <si>
    <t>Regulatory Risk</t>
  </si>
  <si>
    <t>Cross-border fuel tax compliance (IFTA) adds complexity</t>
  </si>
  <si>
    <t>ASSUMPTIONS — Ordered by Model Sensitivity (High → Low)</t>
  </si>
  <si>
    <t>Blue text = editable inputs | Color bands = sensitivity level: Red=Critical, Orange=High, Yellow=Medium, Green=Low</t>
  </si>
  <si>
    <t>#</t>
  </si>
  <si>
    <t>Assumption</t>
  </si>
  <si>
    <t>Conservative</t>
  </si>
  <si>
    <t>Base Case</t>
  </si>
  <si>
    <t>Blitz Scale</t>
  </si>
  <si>
    <t>Source / Rationale</t>
  </si>
  <si>
    <t>Sensitivity</t>
  </si>
  <si>
    <t>A1</t>
  </si>
  <si>
    <t>Transaction Volume Year 1 ($)</t>
  </si>
  <si>
    <t>CRITICAL</t>
  </si>
  <si>
    <t>A2</t>
  </si>
  <si>
    <t>Volume Growth Rate Year 2</t>
  </si>
  <si>
    <t>Base: organic. Blitz: AtoB grew ~3x in early years</t>
  </si>
  <si>
    <t>A3</t>
  </si>
  <si>
    <t>Volume Growth Rate Year 3</t>
  </si>
  <si>
    <t>Deceleration assumed as base grows</t>
  </si>
  <si>
    <t>A4</t>
  </si>
  <si>
    <t>Volume Growth Rate Year 4</t>
  </si>
  <si>
    <t>Maturing growth curve</t>
  </si>
  <si>
    <t>A5</t>
  </si>
  <si>
    <t>Volume Growth Rate Year 5</t>
  </si>
  <si>
    <t>Approaching scale</t>
  </si>
  <si>
    <t>A6</t>
  </si>
  <si>
    <t>Fuel Spread Margin ($/gallon)</t>
  </si>
  <si>
    <t>EFS reseller range: $0.02-$0.07/gal (industry)</t>
  </si>
  <si>
    <t>A7</t>
  </si>
  <si>
    <t>Average Fuel Price ($/gallon)</t>
  </si>
  <si>
    <t>HIGH</t>
  </si>
  <si>
    <t>A8</t>
  </si>
  <si>
    <t>Merchant Rebate Rate (% of vol)</t>
  </si>
  <si>
    <t>Industry: 1-4% merchant rebate; co keeps portion</t>
  </si>
  <si>
    <t>A9</t>
  </si>
  <si>
    <t>SaaS Revenue per Fleet (monthly)</t>
  </si>
  <si>
    <t>Con: $0 (current). Base: basic tier. Blitz: premium</t>
  </si>
  <si>
    <t>A10</t>
  </si>
  <si>
    <t>Number of Fleet Customers Yr 1</t>
  </si>
  <si>
    <t>Estimate: 10K drivers / ~30 drivers per fleet avg</t>
  </si>
  <si>
    <t>A11</t>
  </si>
  <si>
    <t>Fleet Customer Growth Rate</t>
  </si>
  <si>
    <t>Annual fleet customer acquisition rate</t>
  </si>
  <si>
    <t>A12</t>
  </si>
  <si>
    <t>Late Fee Revenue (% of vol)</t>
  </si>
  <si>
    <t>WEX earns ~20% of rev from fees at scale</t>
  </si>
  <si>
    <t>MEDIUM</t>
  </si>
  <si>
    <t>A13</t>
  </si>
  <si>
    <t>Advertising Rev per Fleet (monthly)</t>
  </si>
  <si>
    <t>Only in blitz: truck stop/partner ads in app</t>
  </si>
  <si>
    <t>A14</t>
  </si>
  <si>
    <t>Gross Margin on Fuel Spread</t>
  </si>
  <si>
    <t>Processing costs to EFS reduce gross margin</t>
  </si>
  <si>
    <t>A15</t>
  </si>
  <si>
    <t>Total OpEx Year 1 ($)</t>
  </si>
  <si>
    <t>A16</t>
  </si>
  <si>
    <t>OpEx Growth Rate (annual)</t>
  </si>
  <si>
    <t>Hiring pace: con=lean, blitz=aggressive</t>
  </si>
  <si>
    <t>A17</t>
  </si>
  <si>
    <t>Series A Amount ($)</t>
  </si>
  <si>
    <t>Con: fails to raise. Base: typical seed-&gt;A. Blitz: large</t>
  </si>
  <si>
    <t>A18</t>
  </si>
  <si>
    <t>Series A Timing (months from now)</t>
  </si>
  <si>
    <t>Target Q2-Q3 2026 per press release</t>
  </si>
  <si>
    <t>A19</t>
  </si>
  <si>
    <t>Cash on Hand (current)</t>
  </si>
  <si>
    <t>Estimate: $2M raised - ~$500K spent in Y1</t>
  </si>
  <si>
    <t>LOW</t>
  </si>
  <si>
    <t>REVENUE MODEL — 5-Year Forecast (3 Scenarios)</t>
  </si>
  <si>
    <t>Green font = linked from Assumptions tab</t>
  </si>
  <si>
    <t>CONSERVATIVE</t>
  </si>
  <si>
    <t>BASE CASE</t>
  </si>
  <si>
    <t>BLITZ SCALE</t>
  </si>
  <si>
    <t>Year 1</t>
  </si>
  <si>
    <t>Year 2</t>
  </si>
  <si>
    <t>Year 3</t>
  </si>
  <si>
    <t>Year 4</t>
  </si>
  <si>
    <t>Year 5</t>
  </si>
  <si>
    <t>VOLUME &amp; ACTIVITY</t>
  </si>
  <si>
    <t>Transaction Volume ($)</t>
  </si>
  <si>
    <t>Gallons Processed</t>
  </si>
  <si>
    <t>Fleet Customers</t>
  </si>
  <si>
    <t>REVENUE STREAMS</t>
  </si>
  <si>
    <t>Fuel Spread Revenue</t>
  </si>
  <si>
    <t>Merchant/Network Rebates</t>
  </si>
  <si>
    <t>Late Fees &amp; Finance Charges</t>
  </si>
  <si>
    <t>SaaS Subscription Revenue</t>
  </si>
  <si>
    <t>Advertising &amp; Partnerships</t>
  </si>
  <si>
    <t>TOTAL REVENUE</t>
  </si>
  <si>
    <t>PROFITABILITY</t>
  </si>
  <si>
    <t>Gross Profit</t>
  </si>
  <si>
    <t>Total Operating Expenses</t>
  </si>
  <si>
    <t>EBITDA</t>
  </si>
  <si>
    <t>CASH POSITION</t>
  </si>
  <si>
    <t>Series A Funding</t>
  </si>
  <si>
    <t>-</t>
  </si>
  <si>
    <t>Cash (End of Year)</t>
  </si>
  <si>
    <t>EBITDA Margin %</t>
  </si>
  <si>
    <t>Revenue per Driver ($)</t>
  </si>
  <si>
    <t>SCENARIO OUTCOME</t>
  </si>
  <si>
    <t>Series A fails. Cash depleted by ~Month 10. Company forced to wind down, pivot, or accept bridge at unfavorable terms.</t>
  </si>
  <si>
    <t>Healthy growth. Series A ($8M) provides 24+ month runway. Path to profitability visible by Year 4-5.</t>
  </si>
  <si>
    <t>Hypergrowth. $20M Series A fuels aggressive expansion. High burn, but unit economics improve at scale. Series B needed by Year 3.</t>
  </si>
  <si>
    <t>COMPETITIVE LANDSCAPE — Fleet Fuel Card &amp; Fleet SaaS Market</t>
  </si>
  <si>
    <t>Company</t>
  </si>
  <si>
    <t>Type</t>
  </si>
  <si>
    <t>Funding/Rev</t>
  </si>
  <si>
    <t>Drivers/Fleets</t>
  </si>
  <si>
    <t>AI/SaaS</t>
  </si>
  <si>
    <t>Fraud Det.</t>
  </si>
  <si>
    <t>Cross-Border</t>
  </si>
  <si>
    <t>Network</t>
  </si>
  <si>
    <t>Moat</t>
  </si>
  <si>
    <t>Notes</t>
  </si>
  <si>
    <t>Subject Co.</t>
  </si>
  <si>
    <t>Seed Fintech</t>
  </si>
  <si>
    <t>10K+ drivers</t>
  </si>
  <si>
    <t>Yes</t>
  </si>
  <si>
    <t>US+CA</t>
  </si>
  <si>
    <t>EFS (10K)</t>
  </si>
  <si>
    <t>Low</t>
  </si>
  <si>
    <t>Year 1; EFS reseller; cross-border positioning</t>
  </si>
  <si>
    <t>AtoB</t>
  </si>
  <si>
    <t>Series C Fintech</t>
  </si>
  <si>
    <t>$346M raised</t>
  </si>
  <si>
    <t>100K+ drivers</t>
  </si>
  <si>
    <t>US only</t>
  </si>
  <si>
    <t>Mastercard (99%)</t>
  </si>
  <si>
    <t>Med-High</t>
  </si>
  <si>
    <t>Biggest direct threat; 150x more capital</t>
  </si>
  <si>
    <t>Coast</t>
  </si>
  <si>
    <t>Series B Fintech</t>
  </si>
  <si>
    <t>$118M raised</t>
  </si>
  <si>
    <t>SMB fleets</t>
  </si>
  <si>
    <t>Visa (universal)</t>
  </si>
  <si>
    <t>Medium</t>
  </si>
  <si>
    <t>Visa-based; strong UI/UX focus</t>
  </si>
  <si>
    <t>Mudflap</t>
  </si>
  <si>
    <t>$50M+ raised</t>
  </si>
  <si>
    <t>Owner-ops</t>
  </si>
  <si>
    <t>Partial</t>
  </si>
  <si>
    <t>No</t>
  </si>
  <si>
    <t>Visa</t>
  </si>
  <si>
    <t>Discount marketplace model, not card spread</t>
  </si>
  <si>
    <t>WEX/EFS</t>
  </si>
  <si>
    <t>Public ($2.66B)</t>
  </si>
  <si>
    <t>$2.66B rev</t>
  </si>
  <si>
    <t>600K+ fleets</t>
  </si>
  <si>
    <t>US+CA+Intl</t>
  </si>
  <si>
    <t>95% US stations</t>
  </si>
  <si>
    <t>Very High</t>
  </si>
  <si>
    <t>Owns the rails subject co. rides on</t>
  </si>
  <si>
    <t>Corpay/Fleetcor</t>
  </si>
  <si>
    <t>Public (~$3.8B)</t>
  </si>
  <si>
    <t>~$3.8B rev</t>
  </si>
  <si>
    <t>Global</t>
  </si>
  <si>
    <t>60K+ stations</t>
  </si>
  <si>
    <t>Owns Comdata + Fuelman brands</t>
  </si>
  <si>
    <t>TCS Fuel</t>
  </si>
  <si>
    <t>Private/Reseller</t>
  </si>
  <si>
    <t>Not disclosed</t>
  </si>
  <si>
    <t>OTR truckers</t>
  </si>
  <si>
    <t>Basic</t>
  </si>
  <si>
    <t>EFS+Comdata</t>
  </si>
  <si>
    <t>Low-Med</t>
  </si>
  <si>
    <t>Same EFS reseller model; strong diesel discounts</t>
  </si>
  <si>
    <t>Motive</t>
  </si>
  <si>
    <t>Late-stage VC</t>
  </si>
  <si>
    <t>$600M+ raised</t>
  </si>
  <si>
    <t>Large fleets</t>
  </si>
  <si>
    <t>ELD-first</t>
  </si>
  <si>
    <t>High</t>
  </si>
  <si>
    <t>Fleet OS with ELD/dashcam/safety; added fuel</t>
  </si>
  <si>
    <t>Samsara</t>
  </si>
  <si>
    <t>Public (IOT)</t>
  </si>
  <si>
    <t>$1B+ rev</t>
  </si>
  <si>
    <t>Enterprise</t>
  </si>
  <si>
    <t>Telematics</t>
  </si>
  <si>
    <t>Fleet SaaS leader; not fuel-card focused</t>
  </si>
  <si>
    <t>Voyager/US Bank</t>
  </si>
  <si>
    <t>Public/Bank</t>
  </si>
  <si>
    <t>All sizes</t>
  </si>
  <si>
    <t>97% US stations</t>
  </si>
  <si>
    <t>Widest acceptance; bank-backed</t>
  </si>
  <si>
    <t>KEY COMPETITIVE INSIGHTS</t>
  </si>
  <si>
    <t>1. AI-powered dashboards are table stakes in 2026 — every major competitor (AtoB, WEX, Corpay, Motive) now offers real-time analytics and fraud detection.</t>
  </si>
  <si>
    <t>2. The subject company's primary differentiation is Canadian cross-border capability — most US fintechs are weak here.</t>
  </si>
  <si>
    <t>4. EFS dependency is a structural risk — WEX could change terms, restrict reseller economics, or compete directly.</t>
  </si>
  <si>
    <t>5. The "fuel as wedge → fleet OS" strategy mirrors Motive's and Samsara's playbooks but from a weaker starting position.</t>
  </si>
  <si>
    <t>RECOMMENDED ACCOUNTING &amp; FINANCE STACK FOR SCALING</t>
  </si>
  <si>
    <t>Tailored for a seed-stage fleet fintech scaling from $2M to $20M+ in transaction-based revenue</t>
  </si>
  <si>
    <t>Category</t>
  </si>
  <si>
    <t>Tool/Platform</t>
  </si>
  <si>
    <t>Why This Tool</t>
  </si>
  <si>
    <t>Cost Range</t>
  </si>
  <si>
    <t>When to Implement</t>
  </si>
  <si>
    <t>Accounting/GL</t>
  </si>
  <si>
    <t>QuickBooks Online (→ Xero at scale)</t>
  </si>
  <si>
    <t>QBO for simplicity now; Xero for multi-currency CA/US as cross-border grows</t>
  </si>
  <si>
    <t>$30-$80/mo</t>
  </si>
  <si>
    <t>Day 1</t>
  </si>
  <si>
    <t>NetSuite (at Series B+)</t>
  </si>
  <si>
    <t>Multi-entity, multi-currency ERP for scale; handles consolidation</t>
  </si>
  <si>
    <t>$2K-$5K/mo</t>
  </si>
  <si>
    <t>Post-Series A ($5M+ rev)</t>
  </si>
  <si>
    <t>AP Automation</t>
  </si>
  <si>
    <t>Dext (formerly Receipt Bank)</t>
  </si>
  <si>
    <t>Auto-capture invoices and receipts; integrates with QBO/Xero</t>
  </si>
  <si>
    <t>$30-$60/mo</t>
  </si>
  <si>
    <t>AR/Collections</t>
  </si>
  <si>
    <t>Custom built on Stripe/EFS APIs</t>
  </si>
  <si>
    <t>Transaction-based billing requires custom invoicing from card data</t>
  </si>
  <si>
    <t>Dev cost</t>
  </si>
  <si>
    <t>Day 1 (core product)</t>
  </si>
  <si>
    <t>Payroll</t>
  </si>
  <si>
    <t>Wagepoint (Canada) + Gusto (US)</t>
  </si>
  <si>
    <t>Wagepoint handles Canadian payroll/T4s; Gusto for US employees</t>
  </si>
  <si>
    <t>$40-$200/mo</t>
  </si>
  <si>
    <t>Expense Management</t>
  </si>
  <si>
    <t>Float (Canadian fintech)</t>
  </si>
  <si>
    <t>Corporate cards + expense mgmt designed for Canadian companies</t>
  </si>
  <si>
    <t>$0-$50/mo</t>
  </si>
  <si>
    <t>Immediate</t>
  </si>
  <si>
    <t>FP&amp;A / Reporting</t>
  </si>
  <si>
    <t>Power BI + Excel models</t>
  </si>
  <si>
    <t>Best-in-class visualization; connects to QBO, SQL, APIs</t>
  </si>
  <si>
    <t>$10/user/mo</t>
  </si>
  <si>
    <t>Mosaic or Runway (at scale)</t>
  </si>
  <si>
    <t>Purpose-built FP&amp;A for SaaS/fintech; real-time dashboards</t>
  </si>
  <si>
    <t>$1K-$3K/mo</t>
  </si>
  <si>
    <t>Post-Series A</t>
  </si>
  <si>
    <t>Cash Flow Forecasting</t>
  </si>
  <si>
    <t>Float (cashflow.io) or Agicap</t>
  </si>
  <si>
    <t>Rolling 13-week cash flow forecast with scenario planning</t>
  </si>
  <si>
    <t>$100-$500/mo</t>
  </si>
  <si>
    <t>Immediate (critical at seed)</t>
  </si>
  <si>
    <t>Revenue Recognition</t>
  </si>
  <si>
    <t>Custom/Excel → RevPro at scale</t>
  </si>
  <si>
    <t>ASC 606 compliance for multi-stream revenue (spread + SaaS + fees)</t>
  </si>
  <si>
    <t>Varies</t>
  </si>
  <si>
    <t>Series A+</t>
  </si>
  <si>
    <t>Tax &amp; Compliance</t>
  </si>
  <si>
    <t>IFTA reporting automation</t>
  </si>
  <si>
    <t>Cross-border fuel tax is complex; automate state/province filings</t>
  </si>
  <si>
    <t>Custom</t>
  </si>
  <si>
    <t>Day 1 (client-facing)</t>
  </si>
  <si>
    <t>TaxCycle (Canada) + CCH (US)</t>
  </si>
  <si>
    <t>Corporate tax filing for multi-jurisdiction operations</t>
  </si>
  <si>
    <t>$500-$2K/yr</t>
  </si>
  <si>
    <t>Banking</t>
  </si>
  <si>
    <t>RBC Business + Mercury (US)</t>
  </si>
  <si>
    <t>RBC for Canadian ops; Mercury for US banking with startup-friendly features</t>
  </si>
  <si>
    <t>Data Warehouse</t>
  </si>
  <si>
    <t>Snowflake or BigQuery</t>
  </si>
  <si>
    <t>Centralize transaction data from EFS, CRM, accounting for analytics</t>
  </si>
  <si>
    <t>$500-$2K/mo</t>
  </si>
  <si>
    <t>Board Reporting</t>
  </si>
  <si>
    <t>Visible.vc or Carta</t>
  </si>
  <si>
    <t>Investor updates, cap table management, board deck distribution</t>
  </si>
  <si>
    <t>Series A</t>
  </si>
  <si>
    <t>Audit Readiness</t>
  </si>
  <si>
    <t>Draftboard or FloQast</t>
  </si>
  <si>
    <t>Month-end close management and audit trail</t>
  </si>
  <si>
    <t>$500-$1K/mo</t>
  </si>
  <si>
    <t>Pre-Series A</t>
  </si>
  <si>
    <t>IMPLEMENTATION PRIORITY</t>
  </si>
  <si>
    <t>Phase 1 (Now - Month 3)</t>
  </si>
  <si>
    <t>QBO + Dext + Wagepoint + Float + Power BI + 13-week cash flow model</t>
  </si>
  <si>
    <t>Phase 2 (Month 3-12)</t>
  </si>
  <si>
    <t>Expense mgmt + IFTA automation + board reporting + audit readiness</t>
  </si>
  <si>
    <t>Phase 3 (Post-Series A)</t>
  </si>
  <si>
    <t>Migrate to Xero/NetSuite + FP&amp;A platform + data warehouse + revenue recognition</t>
  </si>
  <si>
    <t>Phase 4 (Scale)</t>
  </si>
  <si>
    <t>Full ERP + automated consolidation + real-time investor dashboard</t>
  </si>
  <si>
    <t>DATA SOURCES &amp; REFERENCES</t>
  </si>
  <si>
    <t>Data Point</t>
  </si>
  <si>
    <t>Source</t>
  </si>
  <si>
    <t>Used In</t>
  </si>
  <si>
    <t>S1</t>
  </si>
  <si>
    <t>NA Freight Trucking Market: $1.04T (2025)</t>
  </si>
  <si>
    <t>Fortune Business Insights — Freight Trucking Market Report</t>
  </si>
  <si>
    <t>Exec Summary, Assumptions</t>
  </si>
  <si>
    <t>S2</t>
  </si>
  <si>
    <t>US Gross Freight Revenue: $940.8B</t>
  </si>
  <si>
    <t>American Trucking Associations (ATA) — Trucking Trends 2025</t>
  </si>
  <si>
    <t>Exec Summary</t>
  </si>
  <si>
    <t>S3</t>
  </si>
  <si>
    <t>US Truck Drivers: 3.55M</t>
  </si>
  <si>
    <t>Bureau of Labor Statistics / ATA 2025</t>
  </si>
  <si>
    <t>S4</t>
  </si>
  <si>
    <t>Fuel as 24-35% of gross revenue</t>
  </si>
  <si>
    <t>American Transportation Research Institute (ATRI)</t>
  </si>
  <si>
    <t>S5</t>
  </si>
  <si>
    <t>Annual diesel consumption: ~54B gallons</t>
  </si>
  <si>
    <t>Geotab Trucking Statistics 2025</t>
  </si>
  <si>
    <t>Assumptions</t>
  </si>
  <si>
    <t>S6</t>
  </si>
  <si>
    <t>AI Fleet Mgmt Software TAM: $14.4B by 2030</t>
  </si>
  <si>
    <t>S7</t>
  </si>
  <si>
    <t>91.5% of carriers operate &lt;=10 trucks</t>
  </si>
  <si>
    <t>ATA American Trucking Trends 2025</t>
  </si>
  <si>
    <t>S8</t>
  </si>
  <si>
    <t>Industry CAGR 3.5-4.1%</t>
  </si>
  <si>
    <t>GM Insights / Fortune BI — Freight Trucking Market</t>
  </si>
  <si>
    <t>S9</t>
  </si>
  <si>
    <t>EFS reseller margin: $0.02-$0.07/gal</t>
  </si>
  <si>
    <t>CNRG Fleet — "How Fuel Card Companies Make Money"</t>
  </si>
  <si>
    <t>Assumptions (A6)</t>
  </si>
  <si>
    <t>S10</t>
  </si>
  <si>
    <t>Merchant rebate: 1-4% of transaction</t>
  </si>
  <si>
    <t>Assumptions (A8)</t>
  </si>
  <si>
    <t>S11</t>
  </si>
  <si>
    <t>WEX FY2025 Revenue: $2.66B</t>
  </si>
  <si>
    <t>WEX Inc. SEC Filing — Form 8-K Q4 2025</t>
  </si>
  <si>
    <t>Competitive Analysis</t>
  </si>
  <si>
    <t>S12</t>
  </si>
  <si>
    <t>WEX fleet segment: ~20% from finance fees</t>
  </si>
  <si>
    <t>WEX SEC Filings — Fleet Solutions segment data</t>
  </si>
  <si>
    <t>Assumptions (A12)</t>
  </si>
  <si>
    <t>S13</t>
  </si>
  <si>
    <t>AtoB: $346M raised, 100K+ drivers</t>
  </si>
  <si>
    <t>PitchBook / YC / SmallFleetHQ 2026 Review</t>
  </si>
  <si>
    <t>S14</t>
  </si>
  <si>
    <t>Coast: $118M raised</t>
  </si>
  <si>
    <t>PitchBook / Crunchbase</t>
  </si>
  <si>
    <t>S15</t>
  </si>
  <si>
    <t>All tabs</t>
  </si>
  <si>
    <t>S16</t>
  </si>
  <si>
    <t>US avg diesel price ~$3.50/gal</t>
  </si>
  <si>
    <t>EIA — Weekly Retail Diesel Prices 2025-2026</t>
  </si>
  <si>
    <t>Assumptions (A7)</t>
  </si>
  <si>
    <t>S17</t>
  </si>
  <si>
    <t>Fleet fuel card rebates: $0.02-$0.15/gal</t>
  </si>
  <si>
    <t>NerdWallet — Fleet Card Guide 2026</t>
  </si>
  <si>
    <t>S18</t>
  </si>
  <si>
    <t>Corpay/Fleetcor: ~$3.8B revenue</t>
  </si>
  <si>
    <t>Corpay SEC Filings</t>
  </si>
  <si>
    <t>S19</t>
  </si>
  <si>
    <t>Motive: $600M+ raised</t>
  </si>
  <si>
    <t>Crunchbase / TechCrunch</t>
  </si>
  <si>
    <t>S20</t>
  </si>
  <si>
    <t>Samsara: $1B+ revenue (public)</t>
  </si>
  <si>
    <t>Samsara SEC Filings (NYSE: IOT)</t>
  </si>
  <si>
    <t>UNTAPPED REVENUE OPPORTUNITIES</t>
  </si>
  <si>
    <t>Embedded Fleet Lending</t>
  </si>
  <si>
    <t>Fuel advances, invoice factoring &amp; working capital loans embedded at point of transaction. Embedded lending market growing ~20% CAGR to $45.7B by 2034 (US). 91.5% of carriers operate ≤10 trucks — underserved by banks. Platform transaction data enables AI-driven credit scoring without traditional underwriting.</t>
  </si>
  <si>
    <t>Embedded Insurance</t>
  </si>
  <si>
    <t>Cargo, liability &amp; downtime insurance sold contextually at card enrollment or trip dispatch. Embedded insurance is a ~$10B market. Small carriers lack negotiating power for competitive premiums — white-label policies via API partners (e.g., Qover model) can earn 15-25% commission with zero underwriting risk.</t>
  </si>
  <si>
    <t>EV Charging Payments</t>
  </si>
  <si>
    <t>Unified fuel + EV charging on single card/invoice. WEX launched the first unified fuel + EV fleet card in Jan 2026 across 175K+ charging ports. This validates the mixed-energy fleet trend. Early mover advantage exists — most EFS-network competitors haven't integrated EV charging yet. Cross-border CA/US positioning is a natural fit.</t>
  </si>
  <si>
    <t>Maintenance Marketplace</t>
  </si>
  <si>
    <t>Tire, oil change &amp; repair referral network monetized via card data. Platform sees real-time vehicle mileage and fuel consumption — can predict maintenance needs and route drivers to partner shops. Revenue model: referral fees + co-branded maintenance cards. WEX already offers tire/hotel/wireless discounts via EDGE Network; replicable at smaller scale.</t>
  </si>
  <si>
    <t>IFTA/Compliance SaaS</t>
  </si>
  <si>
    <t>Automated cross-border fuel tax reporting (IFTA) as premium upsell. AtoB already automates IFTA reporting — proves market demand. Cross-border CA/US operations add unique complexity that most competitors don't address. Natural SaaS upsell: $25-50/truck/month for automated compliance, leveraging existing transaction data.</t>
  </si>
  <si>
    <t>Driver Payroll &amp; Payments</t>
  </si>
  <si>
    <t>Same-day driver settlement and earned wage access. AtoB ($346M raised) already bundles driver payroll into its platform. Small carriers paying drivers weekly/biweekly face cash flow strain — instant pay earns interchange revenue on disbursements + potential subscription fee. Deepens platform stickiness and switching costs.</t>
  </si>
  <si>
    <t>MARKET TAILWINDS</t>
  </si>
  <si>
    <t>Fuel Card Market Growth</t>
  </si>
  <si>
    <t>Global fuel card market reached ~$1T in 2025, projected to $1.66T by 2030 (11.4% CAGR). US market alone: $88B in 2024, growing 9.4% CAGR to $148B by 2030.</t>
  </si>
  <si>
    <t>Fleet Management TAM</t>
  </si>
  <si>
    <t>Global fleet management market estimated at $108.7B, growing at 15% CAGR. Logistics &amp; transportation holds 28% share. 91.5% of carriers operate ≤10 trucks — massive underserved SMB segment.</t>
  </si>
  <si>
    <t>AI/Telematics Integration</t>
  </si>
  <si>
    <t>58% of fuel card transactions now integrated with telematics. AI-powered fraud detection has reduced unauthorized transactions by ~35% globally. Telematics-linked fuel card adoption rose 39% in 2024 alone.</t>
  </si>
  <si>
    <t>Embedded Finance Boom</t>
  </si>
  <si>
    <t>Embedded finance market valued at $85.8B in 2025, projected to $370.9B by 2035 (15.8% CAGR). 64% of businesses plan to launch embedded finance in 2025. Payments platforms are expanding into lending faster than dedicated lenders — validates fuel-card-to-fintech expansion thesis.</t>
  </si>
  <si>
    <t>Platform Convergence</t>
  </si>
  <si>
    <t>Fleet managers increasingly buying complementary products — demand for 'all-in-one' platforms rising. Point solutions competing less effectively against product suites. M&amp;A activity accelerating to acquire adjacent capabilities (WEX+Shell, Corpay acquisitions).</t>
  </si>
  <si>
    <t>WEX Competitive Signal</t>
  </si>
  <si>
    <t>WEX (NYSE: WEX) generated $2.63B revenue in 2024 (+3% YoY) with 37.9% adj. operating margin. Revenue mix: transaction processing fees + fuel spread + late fees + SaaS. Investing in sales expansion and product innovation — validates category economics even at massive scale.</t>
  </si>
  <si>
    <t>STRATEGIC RECOMMENDATIONS</t>
  </si>
  <si>
    <t>1. Deepen the Wedge</t>
  </si>
  <si>
    <t>Accelerate fuel card adoption to 15K+ drivers before Series A. Volume is the moat — per-gallon economics require scale, and transaction data is the feedstock for every expansion play. Focus on sub-10-truck carriers where incumbents underinvest in sales.</t>
  </si>
  <si>
    <t>2. Launch Embedded Lending</t>
  </si>
  <si>
    <t>Pilot fuel advances (micro-loans against upcoming settlements) within 6 months. Low-risk entry: small ticket sizes, short duration, collateralized by pending receivables. Use transaction data for credit scoring — no traditional underwriting needed. Partner with a BaaS provider (Unit, Stripe Treasury) to avoid banking license complexity.</t>
  </si>
  <si>
    <t>3. Monetize Compliance</t>
  </si>
  <si>
    <t>Build automated IFTA reporting as a premium SaaS tier ($25-50/truck/month). Cross-border CA/US complexity is the company's unique advantage over US-only competitors. This creates recurring revenue independent of fuel volume and positions the platform as operationally essential, not just a payment tool.</t>
  </si>
  <si>
    <t>4. Reduce EFS Dependency</t>
  </si>
  <si>
    <t>Diversify payment rails beyond EFS/WEX network. Explore Visa/Mastercard fleet programs (Coast uses Visa, AtoB uses Mastercard) to gain universal acceptance. This mitigates single-network concentration risk and opens retail station access beyond the 10K EFS truck stop network.</t>
  </si>
  <si>
    <t>5. Build Data Flywheel</t>
  </si>
  <si>
    <t>Every transaction generates data → better AI predictions → better fuel routing → more savings → more customers → more data. Prioritize data infrastructure now. At 10K+ drivers, the dataset is large enough to train proprietary fuel price prediction models that competitors with fewer transactions cannot replicate.</t>
  </si>
  <si>
    <t>6. Series A Narrative</t>
  </si>
  <si>
    <t>Frame the Series A pitch around 'fleet operating system' TAM ($108.7B fleet mgmt + $1T fuel cards), not just fuel card economics. Show the embedded finance expansion roadmap: fuel → lending → insurance → compliance → payroll. Each layer increases ARPU, switching costs, and gross margin beyond the thin per-gallon spread.</t>
  </si>
  <si>
    <t>A1a</t>
  </si>
  <si>
    <t>A1b</t>
  </si>
  <si>
    <t>Active Drivers Year 1</t>
  </si>
  <si>
    <t>Gallons per Driver per Year</t>
  </si>
  <si>
    <t>Exec Summary: 10K+ drivers. Con=partial, Blitz=aggressive acquisition</t>
  </si>
  <si>
    <t>FHWA/Bobtail: Class 8 avg 62,169 mi/yr ÷ 6.5 MPG = ~9,564 gal/yr</t>
  </si>
  <si>
    <t>Derived: Drivers × Gal/Driver × Price. Bottom-up from industry data</t>
  </si>
  <si>
    <t>EIA 2026 projection: ~$3.47/gal. Rounded to $3.50</t>
  </si>
  <si>
    <t>Active Drivers</t>
  </si>
  <si>
    <t>30-35 staff in Toronto. Avg fintech salary ~$112K (Wellfound 2025) + 25% loaded. Infra/compliance/marketing benchmarked.</t>
  </si>
  <si>
    <t>$332.5M annually (Base Case — bottom-up: 10K drivers × 9,500 gal × $3.50/gal)</t>
  </si>
  <si>
    <t>5-YEAR MODEL SUMMARY (BASE CASE)</t>
  </si>
  <si>
    <t>Year 1 Revenue</t>
  </si>
  <si>
    <t>Year 5 Revenue</t>
  </si>
  <si>
    <t>Year 1 EBITDA</t>
  </si>
  <si>
    <t>Year 5 EBITDA</t>
  </si>
  <si>
    <t>Year 1 Drivers</t>
  </si>
  <si>
    <t>Year 5 Drivers</t>
  </si>
  <si>
    <t>Year 1 EBITDA Margin</t>
  </si>
  <si>
    <t>Year 5 EBITDA Margin</t>
  </si>
  <si>
    <t>Revenue per Driver</t>
  </si>
  <si>
    <t>Transaction Volume Yr5</t>
  </si>
  <si>
    <t>$8.1M (fuel spread $4.9M + rebates $1.2M + late fees $96K + SaaS $1.8M)</t>
  </si>
  <si>
    <t>$36.7M — 4.5× growth driven by 60% YoY volume ramp and fleet customer expansion</t>
  </si>
  <si>
    <t>$1.17M — lean profitability from day one at $6.05M OpEx (32 staff, Toronto)</t>
  </si>
  <si>
    <t>$9.6M — OpEx scales to $23.2M but gross margin leverage kicks in at volume</t>
  </si>
  <si>
    <t>10,000 active drivers (company claim); ~300 fleet customers</t>
  </si>
  <si>
    <t>45,360 drivers across ~2,100 fleet customers (7× growth from Year 1)</t>
  </si>
  <si>
    <t>14.5% — tight but positive; validates unit economics at seed-stage scale</t>
  </si>
  <si>
    <t>26.2% — approaching SaaS-like margins as OpEx growth (40%) trails revenue growth (60%)</t>
  </si>
  <si>
    <t>$807-810/driver/year — consistent across years, indicating stable per-unit monetization</t>
  </si>
  <si>
    <t>$1.51B — from 45K drivers × 9,500 gal/driver × $3.50/gal fuel price</t>
  </si>
  <si>
    <t>SCENARIO COMPARISON (YEAR 5)</t>
  </si>
  <si>
    <t>Rev $5.9M | EBITDA -$7.3M | 18K drivers | Margin: negative — requires ongoing fundraising, never reaches profitability within 5 years at 30% volume growth</t>
  </si>
  <si>
    <t>Rev $36.7M | EBITDA $9.6M | 45K drivers | Margin: 26% — sustainable growth trajectory, Series A → B path clear, breakeven in Year 1</t>
  </si>
  <si>
    <t>Rev $287M | EBITDA $178M | 238K drivers | Margin: 62% — assumes 150%+ YoY growth; unicorn economics but requires flawless execution and $50M+ in capital</t>
  </si>
  <si>
    <t>A16a</t>
  </si>
  <si>
    <t>CAC per Fleet ($)</t>
  </si>
  <si>
    <t>A11a</t>
  </si>
  <si>
    <t>Annual Fleet Churn Rate</t>
  </si>
  <si>
    <t>Fintech churn: 12% leading, 15-24% acceptable (WeAreFounders 2026)</t>
  </si>
  <si>
    <t>Gross New Fleets Added</t>
  </si>
  <si>
    <t>Sales &amp; Marketing Spend (% of OpEx)</t>
  </si>
  <si>
    <t>Full S&amp;M: sales team salaries + marketing + events + onboarding. Standard CAC denominator.</t>
  </si>
  <si>
    <t>Sales &amp; Marketing Spend (from OpEx)</t>
  </si>
  <si>
    <t>OPERATING EXPENSE BREAKDOWN — Detailed Build by Category</t>
  </si>
  <si>
    <t>All figures in USD | Blue = editable inputs | Black = formulas | Green = linked from Assumptions</t>
  </si>
  <si>
    <t>Headcount</t>
  </si>
  <si>
    <t xml:space="preserve">  Engineering (Backend, Frontend, DevOps)</t>
  </si>
  <si>
    <t>HC</t>
  </si>
  <si>
    <t xml:space="preserve">  Sales &amp; Business Development</t>
  </si>
  <si>
    <t xml:space="preserve">  Customer Success &amp; Support</t>
  </si>
  <si>
    <t xml:space="preserve">  Product &amp; Data Science</t>
  </si>
  <si>
    <t xml:space="preserve">  Compliance &amp; Legal</t>
  </si>
  <si>
    <t xml:space="preserve">  G&amp;A (Finance, HR, Ops, Exec)</t>
  </si>
  <si>
    <t>Total Headcount</t>
  </si>
  <si>
    <t>Avg Fully-Loaded Cost per Employee ($)</t>
  </si>
  <si>
    <t>TOTAL PEOPLE COST</t>
  </si>
  <si>
    <t>Infrastructure &amp; Technology</t>
  </si>
  <si>
    <t xml:space="preserve">  Cloud / Hosting (AWS/GCP)</t>
  </si>
  <si>
    <t xml:space="preserve">  Software Licenses &amp; Tools (SaaS stack)</t>
  </si>
  <si>
    <t xml:space="preserve">  Cybersecurity &amp; Fraud Detection</t>
  </si>
  <si>
    <t>TOTAL TECHNOLOGY</t>
  </si>
  <si>
    <t>Sales &amp; Marketing</t>
  </si>
  <si>
    <t xml:space="preserve">  Digital Marketing &amp; Content</t>
  </si>
  <si>
    <t xml:space="preserve">  Events, Conferences &amp; Partnerships</t>
  </si>
  <si>
    <t xml:space="preserve">  Sales Commission &amp; Incentives</t>
  </si>
  <si>
    <t>TOTAL SALES &amp; MARKETING (non-people)</t>
  </si>
  <si>
    <t>Compliance &amp; Legal</t>
  </si>
  <si>
    <t xml:space="preserve">  Legal Retainer &amp; Outside Counsel</t>
  </si>
  <si>
    <t xml:space="preserve">  Audits &amp; Regulatory Filings</t>
  </si>
  <si>
    <t>TOTAL COMPLIANCE &amp; LEGAL</t>
  </si>
  <si>
    <t>General &amp; Administrative</t>
  </si>
  <si>
    <t xml:space="preserve">  Office Rent &amp; Utilities</t>
  </si>
  <si>
    <t xml:space="preserve">  Insurance (D&amp;O, E&amp;O, Cyber)</t>
  </si>
  <si>
    <t xml:space="preserve">  Miscellaneous &amp; Contingency</t>
  </si>
  <si>
    <t>TOTAL G&amp;A</t>
  </si>
  <si>
    <t>GRAND TOTAL OpEx</t>
  </si>
  <si>
    <t>Revenue Model OpEx (Assumptions tab)</t>
  </si>
  <si>
    <t>Variance (Breakdown vs. Model)</t>
  </si>
  <si>
    <t>S&amp;M RECONCILIATION</t>
  </si>
  <si>
    <t>Sales team comp (from People Cost)</t>
  </si>
  <si>
    <t>S&amp;M non-people (from above)</t>
  </si>
  <si>
    <t>TOTAL S&amp;M SPEND</t>
  </si>
  <si>
    <t>S&amp;M as % of Total OpEx</t>
  </si>
  <si>
    <t>S&amp;M % in Assumptions tab</t>
  </si>
  <si>
    <t>Estimated 30-35</t>
  </si>
  <si>
    <t>$XXXM seed; Year 1 OpEx is ~$6.05M (Base Case) — requires Series A by Q2-Q3 2026 to avoid cash crunch. Conservative scenario shows -$2.8M EBITDA in Year 1.</t>
  </si>
  <si>
    <t>$XXXM seed</t>
  </si>
  <si>
    <t>3. At $XXXM funding vs. AtoB's $346M, the company cannot compete on marketing spend or network breadth. Must win on niche focus.</t>
  </si>
  <si>
    <t>6. Founder's deep industry relationships are the strongest non-replicable asset.</t>
  </si>
  <si>
    <t>Subject company: $XXXM seed, $100M+ vol, 10K+ drivers</t>
  </si>
  <si>
    <t>Company materials (April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</si>
</sst>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;&quot;($&quot;#,##0\);\-"/>
    <numFmt numFmtId="165" formatCode="0.0%"/>
    <numFmt numFmtId="166" formatCode="#,##0;\(#,##0\);\-"/>
    <numFmt numFmtId="167" formatCode="&quot;$&quot;#,##0;&quot;($&quot;#,##0\);\-"/>
    <numFmt numFmtId="168" formatCode="&quot;$&quot;#,##0"/>
    <numFmt numFmtId="169" formatCode="&quot;$&quot;#,##0;\(&quot;$&quot;#,##0\);&quot;-&quot;"/>
  </numFmts>
  <fonts count="19" x14ac:knownFonts="1">
    <font>
      <sz val="11"/>
      <color theme="1"/>
      <name val="Calibri"/>
      <family val="2"/>
      <charset val="1"/>
    </font>
    <font>
      <b/>
      <sz val="14"/>
      <color rgb="FF1B2A4A"/>
      <name val="Arial"/>
      <family val="2"/>
    </font>
    <font>
      <i/>
      <sz val="9"/>
      <color rgb="FF888888"/>
      <name val="Arial"/>
      <family val="2"/>
    </font>
    <font>
      <b/>
      <sz val="11"/>
      <color rgb="FFFFFFFF"/>
      <name val="Arial"/>
      <family val="2"/>
    </font>
    <font>
      <b/>
      <sz val="10"/>
      <color rgb="FF1B2A4A"/>
      <name val="Arial"/>
      <family val="2"/>
    </font>
    <font>
      <sz val="10"/>
      <color rgb="FF333333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b/>
      <sz val="11"/>
      <color rgb="FF1B2A4A"/>
      <name val="Arial"/>
      <family val="2"/>
    </font>
    <font>
      <i/>
      <sz val="9"/>
      <color rgb="FF333333"/>
      <name val="Arial"/>
      <family val="2"/>
    </font>
    <font>
      <b/>
      <sz val="10"/>
      <color rgb="FFFFFF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9"/>
      <color rgb="FF888888"/>
      <name val="Arial"/>
      <family val="2"/>
    </font>
    <font>
      <b/>
      <sz val="12"/>
      <color rgb="FFFFFFFF"/>
      <name val="Arial"/>
      <family val="2"/>
    </font>
    <font>
      <b/>
      <sz val="10"/>
      <color rgb="FF88888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FFEBEE"/>
        <bgColor rgb="FFFFF3E0"/>
      </patternFill>
    </fill>
    <fill>
      <patternFill patternType="solid">
        <fgColor rgb="FFFFF3E0"/>
        <bgColor rgb="FFFFF8E1"/>
      </patternFill>
    </fill>
    <fill>
      <patternFill patternType="solid">
        <fgColor rgb="FFFFFFF0"/>
        <bgColor rgb="FFFFFFFF"/>
      </patternFill>
    </fill>
    <fill>
      <patternFill patternType="solid">
        <fgColor rgb="FFE8F5E9"/>
        <bgColor rgb="FFE8ECF1"/>
      </patternFill>
    </fill>
    <fill>
      <patternFill patternType="solid">
        <fgColor rgb="FF0D6E6E"/>
        <bgColor rgb="FF008080"/>
      </patternFill>
    </fill>
    <fill>
      <patternFill patternType="solid">
        <fgColor rgb="FF8B0000"/>
        <bgColor rgb="FF800000"/>
      </patternFill>
    </fill>
    <fill>
      <patternFill patternType="solid">
        <fgColor rgb="FFE8ECF1"/>
        <bgColor rgb="FFE8F5E9"/>
      </patternFill>
    </fill>
    <fill>
      <patternFill patternType="solid">
        <fgColor rgb="FFFFCDD2"/>
        <bgColor rgb="FFFFEBEE"/>
      </patternFill>
    </fill>
    <fill>
      <patternFill patternType="solid">
        <fgColor rgb="FFFFF8E1"/>
        <bgColor rgb="FFFFF3E0"/>
      </patternFill>
    </fill>
    <fill>
      <patternFill patternType="solid">
        <fgColor rgb="FF1B2A4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0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2D5F8A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medium">
        <color rgb="FF1B2A4A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2" fillId="3" borderId="1" xfId="0" applyFont="1" applyFill="1" applyBorder="1"/>
    <xf numFmtId="165" fontId="6" fillId="3" borderId="1" xfId="0" applyNumberFormat="1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2" fillId="4" borderId="1" xfId="0" applyFont="1" applyFill="1" applyBorder="1"/>
    <xf numFmtId="10" fontId="6" fillId="4" borderId="1" xfId="0" applyNumberFormat="1" applyFont="1" applyFill="1" applyBorder="1"/>
    <xf numFmtId="165" fontId="6" fillId="4" borderId="1" xfId="0" applyNumberFormat="1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10" fontId="6" fillId="5" borderId="1" xfId="0" applyNumberFormat="1" applyFont="1" applyFill="1" applyBorder="1"/>
    <xf numFmtId="0" fontId="6" fillId="5" borderId="1" xfId="0" applyFont="1" applyFill="1" applyBorder="1"/>
    <xf numFmtId="0" fontId="2" fillId="5" borderId="1" xfId="0" applyFont="1" applyFill="1" applyBorder="1"/>
    <xf numFmtId="165" fontId="6" fillId="5" borderId="1" xfId="0" applyNumberFormat="1" applyFont="1" applyFill="1" applyBorder="1"/>
    <xf numFmtId="164" fontId="6" fillId="5" borderId="1" xfId="0" applyNumberFormat="1" applyFont="1" applyFill="1" applyBorder="1"/>
    <xf numFmtId="0" fontId="4" fillId="6" borderId="1" xfId="0" applyFont="1" applyFill="1" applyBorder="1"/>
    <xf numFmtId="0" fontId="5" fillId="6" borderId="1" xfId="0" applyFont="1" applyFill="1" applyBorder="1"/>
    <xf numFmtId="164" fontId="6" fillId="6" borderId="1" xfId="0" applyNumberFormat="1" applyFont="1" applyFill="1" applyBorder="1"/>
    <xf numFmtId="0" fontId="2" fillId="6" borderId="1" xfId="0" applyFont="1" applyFill="1" applyBorder="1"/>
    <xf numFmtId="0" fontId="3" fillId="0" borderId="0" xfId="0" applyFont="1"/>
    <xf numFmtId="0" fontId="4" fillId="0" borderId="0" xfId="0" applyFont="1"/>
    <xf numFmtId="0" fontId="4" fillId="9" borderId="0" xfId="0" applyFont="1" applyFill="1" applyAlignment="1">
      <alignment horizontal="center"/>
    </xf>
    <xf numFmtId="0" fontId="4" fillId="9" borderId="0" xfId="0" applyFont="1" applyFill="1"/>
    <xf numFmtId="0" fontId="0" fillId="9" borderId="0" xfId="0" applyFill="1"/>
    <xf numFmtId="0" fontId="5" fillId="0" borderId="1" xfId="0" applyFont="1" applyBorder="1"/>
    <xf numFmtId="164" fontId="7" fillId="0" borderId="1" xfId="0" applyNumberFormat="1" applyFont="1" applyBorder="1"/>
    <xf numFmtId="0" fontId="0" fillId="0" borderId="1" xfId="0" applyBorder="1"/>
    <xf numFmtId="166" fontId="7" fillId="0" borderId="1" xfId="0" applyNumberFormat="1" applyFont="1" applyBorder="1"/>
    <xf numFmtId="164" fontId="8" fillId="0" borderId="1" xfId="0" applyNumberFormat="1" applyFont="1" applyBorder="1"/>
    <xf numFmtId="164" fontId="8" fillId="10" borderId="1" xfId="0" applyNumberFormat="1" applyFont="1" applyFill="1" applyBorder="1"/>
    <xf numFmtId="164" fontId="7" fillId="10" borderId="1" xfId="0" applyNumberFormat="1" applyFont="1" applyFill="1" applyBorder="1"/>
    <xf numFmtId="165" fontId="7" fillId="10" borderId="0" xfId="0" applyNumberFormat="1" applyFont="1" applyFill="1"/>
    <xf numFmtId="165" fontId="7" fillId="0" borderId="0" xfId="0" applyNumberFormat="1" applyFont="1"/>
    <xf numFmtId="164" fontId="7" fillId="0" borderId="0" xfId="0" applyNumberFormat="1" applyFont="1"/>
    <xf numFmtId="0" fontId="9" fillId="0" borderId="0" xfId="0" applyFont="1"/>
    <xf numFmtId="0" fontId="4" fillId="11" borderId="1" xfId="0" applyFont="1" applyFill="1" applyBorder="1" applyAlignment="1">
      <alignment wrapText="1"/>
    </xf>
    <xf numFmtId="0" fontId="5" fillId="0" borderId="0" xfId="0" applyFont="1"/>
    <xf numFmtId="0" fontId="0" fillId="0" borderId="2" xfId="0" applyBorder="1"/>
    <xf numFmtId="0" fontId="3" fillId="12" borderId="0" xfId="0" applyFont="1" applyFill="1" applyAlignment="1">
      <alignment horizontal="center" wrapText="1"/>
    </xf>
    <xf numFmtId="0" fontId="4" fillId="13" borderId="2" xfId="0" applyFont="1" applyFill="1" applyBorder="1" applyAlignment="1">
      <alignment vertical="top" wrapText="1"/>
    </xf>
    <xf numFmtId="0" fontId="5" fillId="13" borderId="2" xfId="0" applyFont="1" applyFill="1" applyBorder="1" applyAlignment="1">
      <alignment vertical="top" wrapText="1"/>
    </xf>
    <xf numFmtId="0" fontId="4" fillId="13" borderId="3" xfId="0" applyFont="1" applyFill="1" applyBorder="1" applyAlignment="1">
      <alignment vertical="top" wrapText="1"/>
    </xf>
    <xf numFmtId="0" fontId="5" fillId="13" borderId="3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3" fontId="6" fillId="3" borderId="1" xfId="0" applyNumberFormat="1" applyFont="1" applyFill="1" applyBorder="1"/>
    <xf numFmtId="166" fontId="7" fillId="0" borderId="0" xfId="0" applyNumberFormat="1" applyFont="1"/>
    <xf numFmtId="0" fontId="5" fillId="0" borderId="3" xfId="0" applyFont="1" applyBorder="1"/>
    <xf numFmtId="166" fontId="7" fillId="0" borderId="3" xfId="0" applyNumberFormat="1" applyFont="1" applyBorder="1"/>
    <xf numFmtId="167" fontId="14" fillId="3" borderId="1" xfId="0" applyNumberFormat="1" applyFont="1" applyFill="1" applyBorder="1"/>
    <xf numFmtId="0" fontId="0" fillId="13" borderId="0" xfId="0" applyFill="1"/>
    <xf numFmtId="0" fontId="4" fillId="14" borderId="1" xfId="0" applyFont="1" applyFill="1" applyBorder="1"/>
    <xf numFmtId="0" fontId="5" fillId="14" borderId="1" xfId="0" applyFont="1" applyFill="1" applyBorder="1"/>
    <xf numFmtId="165" fontId="6" fillId="14" borderId="1" xfId="0" applyNumberFormat="1" applyFont="1" applyFill="1" applyBorder="1"/>
    <xf numFmtId="0" fontId="2" fillId="14" borderId="1" xfId="0" applyFont="1" applyFill="1" applyBorder="1"/>
    <xf numFmtId="0" fontId="15" fillId="0" borderId="0" xfId="0" applyFont="1"/>
    <xf numFmtId="168" fontId="14" fillId="0" borderId="0" xfId="0" applyNumberFormat="1" applyFont="1"/>
    <xf numFmtId="3" fontId="14" fillId="0" borderId="0" xfId="0" applyNumberFormat="1" applyFont="1"/>
    <xf numFmtId="168" fontId="4" fillId="0" borderId="0" xfId="0" applyNumberFormat="1" applyFont="1"/>
    <xf numFmtId="0" fontId="4" fillId="15" borderId="1" xfId="0" applyFont="1" applyFill="1" applyBorder="1"/>
    <xf numFmtId="0" fontId="5" fillId="15" borderId="1" xfId="0" applyFont="1" applyFill="1" applyBorder="1"/>
    <xf numFmtId="165" fontId="6" fillId="15" borderId="1" xfId="0" applyNumberFormat="1" applyFont="1" applyFill="1" applyBorder="1"/>
    <xf numFmtId="0" fontId="2" fillId="15" borderId="1" xfId="0" applyFont="1" applyFill="1" applyBorder="1"/>
    <xf numFmtId="0" fontId="1" fillId="13" borderId="0" xfId="0" applyFont="1" applyFill="1"/>
    <xf numFmtId="0" fontId="17" fillId="12" borderId="1" xfId="0" applyFont="1" applyFill="1" applyBorder="1" applyAlignment="1">
      <alignment horizontal="center"/>
    </xf>
    <xf numFmtId="0" fontId="0" fillId="12" borderId="1" xfId="0" applyFill="1" applyBorder="1"/>
    <xf numFmtId="0" fontId="11" fillId="12" borderId="1" xfId="0" applyFont="1" applyFill="1" applyBorder="1" applyAlignment="1">
      <alignment horizontal="center"/>
    </xf>
    <xf numFmtId="0" fontId="18" fillId="16" borderId="3" xfId="0" applyFont="1" applyFill="1" applyBorder="1"/>
    <xf numFmtId="0" fontId="0" fillId="16" borderId="3" xfId="0" applyFill="1" applyBorder="1"/>
    <xf numFmtId="0" fontId="1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168" fontId="6" fillId="0" borderId="3" xfId="0" applyNumberFormat="1" applyFont="1" applyBorder="1"/>
    <xf numFmtId="168" fontId="14" fillId="0" borderId="3" xfId="0" applyNumberFormat="1" applyFont="1" applyBorder="1"/>
    <xf numFmtId="0" fontId="0" fillId="12" borderId="3" xfId="0" applyFill="1" applyBorder="1"/>
    <xf numFmtId="0" fontId="15" fillId="0" borderId="3" xfId="0" applyFont="1" applyBorder="1"/>
    <xf numFmtId="169" fontId="15" fillId="0" borderId="3" xfId="0" applyNumberFormat="1" applyFont="1" applyBorder="1"/>
    <xf numFmtId="0" fontId="3" fillId="12" borderId="3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168" fontId="4" fillId="0" borderId="3" xfId="0" applyNumberFormat="1" applyFont="1" applyBorder="1"/>
    <xf numFmtId="165" fontId="14" fillId="0" borderId="3" xfId="0" applyNumberFormat="1" applyFont="1" applyBorder="1"/>
    <xf numFmtId="0" fontId="7" fillId="0" borderId="2" xfId="0" applyFont="1" applyBorder="1"/>
    <xf numFmtId="165" fontId="7" fillId="0" borderId="2" xfId="0" applyNumberFormat="1" applyFont="1" applyBorder="1"/>
    <xf numFmtId="0" fontId="5" fillId="0" borderId="2" xfId="0" applyFont="1" applyBorder="1"/>
    <xf numFmtId="168" fontId="6" fillId="0" borderId="2" xfId="0" applyNumberFormat="1" applyFont="1" applyBorder="1" applyAlignment="1">
      <alignment horizontal="center"/>
    </xf>
    <xf numFmtId="0" fontId="11" fillId="17" borderId="4" xfId="0" applyFont="1" applyFill="1" applyBorder="1"/>
    <xf numFmtId="0" fontId="0" fillId="17" borderId="4" xfId="0" applyFill="1" applyBorder="1"/>
    <xf numFmtId="168" fontId="11" fillId="17" borderId="4" xfId="0" applyNumberFormat="1" applyFont="1" applyFill="1" applyBorder="1"/>
    <xf numFmtId="168" fontId="6" fillId="0" borderId="2" xfId="0" applyNumberFormat="1" applyFont="1" applyBorder="1"/>
    <xf numFmtId="168" fontId="14" fillId="0" borderId="2" xfId="0" applyNumberFormat="1" applyFont="1" applyBorder="1"/>
    <xf numFmtId="0" fontId="7" fillId="0" borderId="1" xfId="0" applyFont="1" applyBorder="1"/>
    <xf numFmtId="168" fontId="7" fillId="0" borderId="1" xfId="0" applyNumberFormat="1" applyFont="1" applyBorder="1"/>
    <xf numFmtId="0" fontId="17" fillId="12" borderId="4" xfId="0" applyFont="1" applyFill="1" applyBorder="1"/>
    <xf numFmtId="0" fontId="0" fillId="12" borderId="4" xfId="0" applyFill="1" applyBorder="1"/>
    <xf numFmtId="168" fontId="17" fillId="12" borderId="4" xfId="0" applyNumberFormat="1" applyFont="1" applyFill="1" applyBorder="1"/>
    <xf numFmtId="0" fontId="5" fillId="18" borderId="1" xfId="0" applyFont="1" applyFill="1" applyBorder="1" applyAlignment="1">
      <alignment vertical="top" wrapText="1"/>
    </xf>
    <xf numFmtId="0" fontId="3" fillId="12" borderId="0" xfId="0" applyFont="1" applyFill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10" fillId="3" borderId="0" xfId="0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B0000"/>
      <rgbColor rgb="FF008000"/>
      <rgbColor rgb="FF000080"/>
      <rgbColor rgb="FF808000"/>
      <rgbColor rgb="FF800080"/>
      <rgbColor rgb="FF0D6E6E"/>
      <rgbColor rgb="FFFFEBEE"/>
      <rgbColor rgb="FF888888"/>
      <rgbColor rgb="FF9999FF"/>
      <rgbColor rgb="FF993366"/>
      <rgbColor rgb="FFFFF8E1"/>
      <rgbColor rgb="FFE8F5E9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CF1"/>
      <rgbColor rgb="FFFFFFF0"/>
      <rgbColor rgb="FFFFF3E0"/>
      <rgbColor rgb="FF99CCFF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64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31C85CA-18DF-4000-AEE1-705842CCA3B0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8e41c748-a246-48d6-a82d-6771f32b4e3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1"/>
  <sheetViews>
    <sheetView tabSelected="1" zoomScaleNormal="100" workbookViewId="0">
      <selection activeCell="A23" sqref="A23"/>
    </sheetView>
  </sheetViews>
  <sheetFormatPr defaultColWidth="8.6640625" defaultRowHeight="14.25" x14ac:dyDescent="0.45"/>
  <cols>
    <col min="1" max="1" width="45" customWidth="1"/>
    <col min="2" max="2" width="88.86328125" customWidth="1"/>
  </cols>
  <sheetData>
    <row r="1" spans="1:2" ht="17.649999999999999" x14ac:dyDescent="0.5">
      <c r="A1" s="2" t="s">
        <v>0</v>
      </c>
    </row>
    <row r="2" spans="1:2" x14ac:dyDescent="0.45">
      <c r="A2" s="1" t="s">
        <v>1</v>
      </c>
    </row>
    <row r="4" spans="1:2" x14ac:dyDescent="0.45">
      <c r="A4" s="3" t="s">
        <v>2</v>
      </c>
      <c r="B4" s="3"/>
    </row>
    <row r="5" spans="1:2" x14ac:dyDescent="0.45">
      <c r="A5" s="52" t="s">
        <v>3</v>
      </c>
      <c r="B5" s="53" t="s">
        <v>4</v>
      </c>
    </row>
    <row r="6" spans="1:2" x14ac:dyDescent="0.45">
      <c r="A6" s="52" t="s">
        <v>5</v>
      </c>
      <c r="B6" s="106"/>
    </row>
    <row r="7" spans="1:2" x14ac:dyDescent="0.45">
      <c r="A7" s="52" t="s">
        <v>6</v>
      </c>
      <c r="B7" s="106"/>
    </row>
    <row r="8" spans="1:2" x14ac:dyDescent="0.45">
      <c r="A8" s="52" t="s">
        <v>7</v>
      </c>
      <c r="B8" s="106"/>
    </row>
    <row r="9" spans="1:2" x14ac:dyDescent="0.45">
      <c r="A9" s="52" t="s">
        <v>8</v>
      </c>
      <c r="B9" s="53" t="s">
        <v>9</v>
      </c>
    </row>
    <row r="10" spans="1:2" x14ac:dyDescent="0.45">
      <c r="A10" s="52" t="s">
        <v>10</v>
      </c>
      <c r="B10" s="53" t="s">
        <v>527</v>
      </c>
    </row>
    <row r="11" spans="1:2" x14ac:dyDescent="0.45">
      <c r="A11" s="52" t="s">
        <v>11</v>
      </c>
      <c r="B11" s="53" t="s">
        <v>12</v>
      </c>
    </row>
    <row r="12" spans="1:2" x14ac:dyDescent="0.45">
      <c r="A12" s="52" t="s">
        <v>13</v>
      </c>
      <c r="B12" s="53" t="s">
        <v>451</v>
      </c>
    </row>
    <row r="13" spans="1:2" x14ac:dyDescent="0.45">
      <c r="A13" s="52" t="s">
        <v>14</v>
      </c>
      <c r="B13" s="53" t="s">
        <v>15</v>
      </c>
    </row>
    <row r="15" spans="1:2" x14ac:dyDescent="0.45">
      <c r="A15" s="3" t="s">
        <v>16</v>
      </c>
      <c r="B15" s="3"/>
    </row>
    <row r="16" spans="1:2" x14ac:dyDescent="0.45">
      <c r="A16" s="52" t="s">
        <v>17</v>
      </c>
      <c r="B16" s="53" t="s">
        <v>18</v>
      </c>
    </row>
    <row r="17" spans="1:2" x14ac:dyDescent="0.45">
      <c r="A17" s="52" t="s">
        <v>19</v>
      </c>
      <c r="B17" s="53" t="s">
        <v>20</v>
      </c>
    </row>
    <row r="18" spans="1:2" x14ac:dyDescent="0.45">
      <c r="A18" s="52" t="s">
        <v>21</v>
      </c>
      <c r="B18" s="53" t="s">
        <v>22</v>
      </c>
    </row>
    <row r="19" spans="1:2" x14ac:dyDescent="0.45">
      <c r="A19" s="52" t="s">
        <v>23</v>
      </c>
      <c r="B19" s="53" t="s">
        <v>24</v>
      </c>
    </row>
    <row r="20" spans="1:2" x14ac:dyDescent="0.45">
      <c r="A20" s="52" t="s">
        <v>25</v>
      </c>
      <c r="B20" s="53" t="s">
        <v>26</v>
      </c>
    </row>
    <row r="21" spans="1:2" x14ac:dyDescent="0.45">
      <c r="A21" s="52" t="s">
        <v>27</v>
      </c>
      <c r="B21" s="53" t="s">
        <v>28</v>
      </c>
    </row>
    <row r="22" spans="1:2" x14ac:dyDescent="0.45">
      <c r="A22" s="52" t="s">
        <v>29</v>
      </c>
      <c r="B22" s="53" t="s">
        <v>30</v>
      </c>
    </row>
    <row r="23" spans="1:2" x14ac:dyDescent="0.45">
      <c r="A23" s="52" t="s">
        <v>31</v>
      </c>
      <c r="B23" s="53" t="s">
        <v>32</v>
      </c>
    </row>
    <row r="25" spans="1:2" x14ac:dyDescent="0.45">
      <c r="A25" s="3" t="s">
        <v>33</v>
      </c>
      <c r="B25" s="3"/>
    </row>
    <row r="26" spans="1:2" x14ac:dyDescent="0.45">
      <c r="A26" s="52" t="s">
        <v>34</v>
      </c>
      <c r="B26" s="53" t="s">
        <v>35</v>
      </c>
    </row>
    <row r="27" spans="1:2" x14ac:dyDescent="0.45">
      <c r="A27" s="52" t="s">
        <v>36</v>
      </c>
      <c r="B27" s="53" t="s">
        <v>37</v>
      </c>
    </row>
    <row r="28" spans="1:2" x14ac:dyDescent="0.45">
      <c r="A28" s="52" t="s">
        <v>38</v>
      </c>
      <c r="B28" s="53" t="s">
        <v>39</v>
      </c>
    </row>
    <row r="29" spans="1:2" x14ac:dyDescent="0.45">
      <c r="A29" s="52" t="s">
        <v>40</v>
      </c>
      <c r="B29" s="53" t="s">
        <v>41</v>
      </c>
    </row>
    <row r="30" spans="1:2" x14ac:dyDescent="0.45">
      <c r="A30" s="52" t="s">
        <v>42</v>
      </c>
      <c r="B30" s="53" t="s">
        <v>43</v>
      </c>
    </row>
    <row r="31" spans="1:2" x14ac:dyDescent="0.45">
      <c r="A31" s="52" t="s">
        <v>44</v>
      </c>
      <c r="B31" s="53" t="s">
        <v>45</v>
      </c>
    </row>
    <row r="33" spans="1:2" x14ac:dyDescent="0.45">
      <c r="A33" s="3" t="s">
        <v>46</v>
      </c>
      <c r="B33" s="3"/>
    </row>
    <row r="34" spans="1:2" x14ac:dyDescent="0.45">
      <c r="A34" s="52" t="s">
        <v>47</v>
      </c>
      <c r="B34" s="53" t="s">
        <v>48</v>
      </c>
    </row>
    <row r="35" spans="1:2" x14ac:dyDescent="0.45">
      <c r="A35" s="52" t="s">
        <v>49</v>
      </c>
      <c r="B35" s="53" t="s">
        <v>50</v>
      </c>
    </row>
    <row r="36" spans="1:2" x14ac:dyDescent="0.45">
      <c r="A36" s="52" t="s">
        <v>51</v>
      </c>
      <c r="B36" s="53" t="s">
        <v>52</v>
      </c>
    </row>
    <row r="37" spans="1:2" ht="25.5" x14ac:dyDescent="0.45">
      <c r="A37" s="52" t="s">
        <v>53</v>
      </c>
      <c r="B37" s="53" t="s">
        <v>528</v>
      </c>
    </row>
    <row r="38" spans="1:2" x14ac:dyDescent="0.45">
      <c r="A38" s="52" t="s">
        <v>54</v>
      </c>
      <c r="B38" s="53" t="s">
        <v>55</v>
      </c>
    </row>
    <row r="39" spans="1:2" x14ac:dyDescent="0.45">
      <c r="A39" s="52" t="s">
        <v>56</v>
      </c>
      <c r="B39" s="53" t="s">
        <v>57</v>
      </c>
    </row>
    <row r="40" spans="1:2" x14ac:dyDescent="0.45">
      <c r="A40" s="52" t="s">
        <v>58</v>
      </c>
      <c r="B40" s="53" t="s">
        <v>59</v>
      </c>
    </row>
    <row r="42" spans="1:2" x14ac:dyDescent="0.45">
      <c r="A42" s="47" t="s">
        <v>402</v>
      </c>
      <c r="B42" s="47"/>
    </row>
    <row r="43" spans="1:2" ht="51" x14ac:dyDescent="0.45">
      <c r="A43" s="48" t="s">
        <v>403</v>
      </c>
      <c r="B43" s="49" t="s">
        <v>404</v>
      </c>
    </row>
    <row r="44" spans="1:2" ht="51" x14ac:dyDescent="0.45">
      <c r="A44" s="48" t="s">
        <v>405</v>
      </c>
      <c r="B44" s="49" t="s">
        <v>406</v>
      </c>
    </row>
    <row r="45" spans="1:2" ht="51" x14ac:dyDescent="0.45">
      <c r="A45" s="48" t="s">
        <v>407</v>
      </c>
      <c r="B45" s="49" t="s">
        <v>408</v>
      </c>
    </row>
    <row r="46" spans="1:2" ht="51" x14ac:dyDescent="0.45">
      <c r="A46" s="48" t="s">
        <v>409</v>
      </c>
      <c r="B46" s="49" t="s">
        <v>410</v>
      </c>
    </row>
    <row r="47" spans="1:2" ht="51" x14ac:dyDescent="0.45">
      <c r="A47" s="48" t="s">
        <v>411</v>
      </c>
      <c r="B47" s="49" t="s">
        <v>412</v>
      </c>
    </row>
    <row r="48" spans="1:2" ht="51" x14ac:dyDescent="0.45">
      <c r="A48" s="48" t="s">
        <v>413</v>
      </c>
      <c r="B48" s="49" t="s">
        <v>414</v>
      </c>
    </row>
    <row r="49" spans="1:2" x14ac:dyDescent="0.45">
      <c r="A49" s="46"/>
      <c r="B49" s="46"/>
    </row>
    <row r="50" spans="1:2" x14ac:dyDescent="0.45">
      <c r="A50" s="47" t="s">
        <v>415</v>
      </c>
      <c r="B50" s="47"/>
    </row>
    <row r="51" spans="1:2" ht="25.5" x14ac:dyDescent="0.45">
      <c r="A51" s="48" t="s">
        <v>416</v>
      </c>
      <c r="B51" s="49" t="s">
        <v>417</v>
      </c>
    </row>
    <row r="52" spans="1:2" ht="25.5" x14ac:dyDescent="0.45">
      <c r="A52" s="48" t="s">
        <v>418</v>
      </c>
      <c r="B52" s="49" t="s">
        <v>419</v>
      </c>
    </row>
    <row r="53" spans="1:2" ht="38.25" x14ac:dyDescent="0.45">
      <c r="A53" s="48" t="s">
        <v>420</v>
      </c>
      <c r="B53" s="49" t="s">
        <v>421</v>
      </c>
    </row>
    <row r="54" spans="1:2" ht="38.25" x14ac:dyDescent="0.45">
      <c r="A54" s="48" t="s">
        <v>422</v>
      </c>
      <c r="B54" s="49" t="s">
        <v>423</v>
      </c>
    </row>
    <row r="55" spans="1:2" ht="38.25" x14ac:dyDescent="0.45">
      <c r="A55" s="48" t="s">
        <v>424</v>
      </c>
      <c r="B55" s="49" t="s">
        <v>425</v>
      </c>
    </row>
    <row r="56" spans="1:2" ht="38.25" x14ac:dyDescent="0.45">
      <c r="A56" s="48" t="s">
        <v>426</v>
      </c>
      <c r="B56" s="49" t="s">
        <v>427</v>
      </c>
    </row>
    <row r="57" spans="1:2" x14ac:dyDescent="0.45">
      <c r="A57" s="46"/>
      <c r="B57" s="46"/>
    </row>
    <row r="58" spans="1:2" x14ac:dyDescent="0.45">
      <c r="A58" s="47" t="s">
        <v>428</v>
      </c>
      <c r="B58" s="47"/>
    </row>
    <row r="59" spans="1:2" ht="38.25" x14ac:dyDescent="0.45">
      <c r="A59" s="48" t="s">
        <v>429</v>
      </c>
      <c r="B59" s="49" t="s">
        <v>430</v>
      </c>
    </row>
    <row r="60" spans="1:2" ht="51" x14ac:dyDescent="0.45">
      <c r="A60" s="48" t="s">
        <v>431</v>
      </c>
      <c r="B60" s="49" t="s">
        <v>432</v>
      </c>
    </row>
    <row r="61" spans="1:2" ht="38.25" x14ac:dyDescent="0.45">
      <c r="A61" s="48" t="s">
        <v>433</v>
      </c>
      <c r="B61" s="49" t="s">
        <v>434</v>
      </c>
    </row>
    <row r="62" spans="1:2" ht="38.25" x14ac:dyDescent="0.45">
      <c r="A62" s="48" t="s">
        <v>435</v>
      </c>
      <c r="B62" s="49" t="s">
        <v>436</v>
      </c>
    </row>
    <row r="63" spans="1:2" ht="38.25" x14ac:dyDescent="0.45">
      <c r="A63" s="48" t="s">
        <v>437</v>
      </c>
      <c r="B63" s="49" t="s">
        <v>438</v>
      </c>
    </row>
    <row r="64" spans="1:2" ht="51" x14ac:dyDescent="0.45">
      <c r="A64" s="50" t="s">
        <v>439</v>
      </c>
      <c r="B64" s="51" t="s">
        <v>440</v>
      </c>
    </row>
    <row r="65" spans="1:2" x14ac:dyDescent="0.45">
      <c r="A65" s="59"/>
      <c r="B65" s="59"/>
    </row>
    <row r="66" spans="1:2" x14ac:dyDescent="0.45">
      <c r="A66" s="107" t="s">
        <v>452</v>
      </c>
      <c r="B66" s="107"/>
    </row>
    <row r="67" spans="1:2" x14ac:dyDescent="0.45">
      <c r="A67" s="48" t="s">
        <v>453</v>
      </c>
      <c r="B67" s="49" t="s">
        <v>463</v>
      </c>
    </row>
    <row r="68" spans="1:2" x14ac:dyDescent="0.45">
      <c r="A68" s="48" t="s">
        <v>454</v>
      </c>
      <c r="B68" s="49" t="s">
        <v>464</v>
      </c>
    </row>
    <row r="69" spans="1:2" x14ac:dyDescent="0.45">
      <c r="A69" s="48" t="s">
        <v>455</v>
      </c>
      <c r="B69" s="49" t="s">
        <v>465</v>
      </c>
    </row>
    <row r="70" spans="1:2" x14ac:dyDescent="0.45">
      <c r="A70" s="48" t="s">
        <v>456</v>
      </c>
      <c r="B70" s="49" t="s">
        <v>466</v>
      </c>
    </row>
    <row r="71" spans="1:2" x14ac:dyDescent="0.45">
      <c r="A71" s="48" t="s">
        <v>457</v>
      </c>
      <c r="B71" s="49" t="s">
        <v>467</v>
      </c>
    </row>
    <row r="72" spans="1:2" x14ac:dyDescent="0.45">
      <c r="A72" s="48" t="s">
        <v>458</v>
      </c>
      <c r="B72" s="49" t="s">
        <v>468</v>
      </c>
    </row>
    <row r="73" spans="1:2" x14ac:dyDescent="0.45">
      <c r="A73" s="48" t="s">
        <v>459</v>
      </c>
      <c r="B73" s="49" t="s">
        <v>469</v>
      </c>
    </row>
    <row r="74" spans="1:2" x14ac:dyDescent="0.45">
      <c r="A74" s="48" t="s">
        <v>460</v>
      </c>
      <c r="B74" s="49" t="s">
        <v>470</v>
      </c>
    </row>
    <row r="75" spans="1:2" x14ac:dyDescent="0.45">
      <c r="A75" s="48" t="s">
        <v>461</v>
      </c>
      <c r="B75" s="49" t="s">
        <v>471</v>
      </c>
    </row>
    <row r="76" spans="1:2" x14ac:dyDescent="0.45">
      <c r="A76" s="50" t="s">
        <v>462</v>
      </c>
      <c r="B76" s="51" t="s">
        <v>472</v>
      </c>
    </row>
    <row r="77" spans="1:2" x14ac:dyDescent="0.45">
      <c r="A77" s="59"/>
      <c r="B77" s="59"/>
    </row>
    <row r="78" spans="1:2" x14ac:dyDescent="0.45">
      <c r="A78" s="107" t="s">
        <v>473</v>
      </c>
      <c r="B78" s="107"/>
    </row>
    <row r="79" spans="1:2" ht="25.5" x14ac:dyDescent="0.45">
      <c r="A79" s="48" t="s">
        <v>64</v>
      </c>
      <c r="B79" s="49" t="s">
        <v>474</v>
      </c>
    </row>
    <row r="80" spans="1:2" ht="25.5" x14ac:dyDescent="0.45">
      <c r="A80" s="48" t="s">
        <v>65</v>
      </c>
      <c r="B80" s="49" t="s">
        <v>475</v>
      </c>
    </row>
    <row r="81" spans="1:2" ht="25.5" x14ac:dyDescent="0.45">
      <c r="A81" s="50" t="s">
        <v>66</v>
      </c>
      <c r="B81" s="51" t="s">
        <v>476</v>
      </c>
    </row>
  </sheetData>
  <mergeCells count="2">
    <mergeCell ref="A66:B66"/>
    <mergeCell ref="A78:B78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F10" sqref="F10"/>
    </sheetView>
  </sheetViews>
  <sheetFormatPr defaultColWidth="8.6640625" defaultRowHeight="14.25" x14ac:dyDescent="0.45"/>
  <cols>
    <col min="1" max="1" width="8" customWidth="1"/>
    <col min="2" max="2" width="40" customWidth="1"/>
    <col min="3" max="5" width="18" customWidth="1"/>
    <col min="6" max="6" width="50" customWidth="1"/>
    <col min="7" max="7" width="20" customWidth="1"/>
  </cols>
  <sheetData>
    <row r="1" spans="1:7" ht="17.649999999999999" x14ac:dyDescent="0.5">
      <c r="A1" s="108" t="s">
        <v>60</v>
      </c>
      <c r="B1" s="108"/>
      <c r="C1" s="108"/>
      <c r="D1" s="108"/>
      <c r="E1" s="108"/>
      <c r="F1" s="108"/>
      <c r="G1" s="108"/>
    </row>
    <row r="2" spans="1:7" x14ac:dyDescent="0.45">
      <c r="A2" s="109" t="s">
        <v>61</v>
      </c>
      <c r="B2" s="109"/>
      <c r="C2" s="109"/>
      <c r="D2" s="109"/>
      <c r="E2" s="109"/>
      <c r="F2" s="109"/>
      <c r="G2" s="109"/>
    </row>
    <row r="4" spans="1:7" x14ac:dyDescent="0.45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spans="1:7" x14ac:dyDescent="0.45">
      <c r="A5" s="6" t="s">
        <v>69</v>
      </c>
      <c r="B5" s="7" t="s">
        <v>70</v>
      </c>
      <c r="C5" s="58">
        <f>C6*C7*C13</f>
        <v>210000000</v>
      </c>
      <c r="D5" s="58">
        <f>D6*D7*D13</f>
        <v>332500000</v>
      </c>
      <c r="E5" s="58">
        <f>E6*E7*E13</f>
        <v>498750000</v>
      </c>
      <c r="F5" s="9" t="s">
        <v>447</v>
      </c>
      <c r="G5" s="6" t="s">
        <v>71</v>
      </c>
    </row>
    <row r="6" spans="1:7" x14ac:dyDescent="0.45">
      <c r="A6" s="6" t="s">
        <v>441</v>
      </c>
      <c r="B6" s="7" t="s">
        <v>443</v>
      </c>
      <c r="C6" s="54">
        <v>8000</v>
      </c>
      <c r="D6" s="54">
        <v>10000</v>
      </c>
      <c r="E6" s="54">
        <v>15000</v>
      </c>
      <c r="F6" s="9" t="s">
        <v>445</v>
      </c>
      <c r="G6" s="6" t="s">
        <v>71</v>
      </c>
    </row>
    <row r="7" spans="1:7" x14ac:dyDescent="0.45">
      <c r="A7" s="6" t="s">
        <v>442</v>
      </c>
      <c r="B7" s="7" t="s">
        <v>444</v>
      </c>
      <c r="C7" s="54">
        <v>7500</v>
      </c>
      <c r="D7" s="54">
        <v>9500</v>
      </c>
      <c r="E7" s="54">
        <v>9500</v>
      </c>
      <c r="F7" s="9" t="s">
        <v>446</v>
      </c>
      <c r="G7" s="6" t="s">
        <v>71</v>
      </c>
    </row>
    <row r="8" spans="1:7" x14ac:dyDescent="0.45">
      <c r="A8" s="6" t="s">
        <v>72</v>
      </c>
      <c r="B8" s="7" t="s">
        <v>73</v>
      </c>
      <c r="C8" s="10">
        <v>0.3</v>
      </c>
      <c r="D8" s="10">
        <v>0.6</v>
      </c>
      <c r="E8" s="10">
        <v>1.5</v>
      </c>
      <c r="F8" s="9" t="s">
        <v>74</v>
      </c>
      <c r="G8" s="6" t="s">
        <v>71</v>
      </c>
    </row>
    <row r="9" spans="1:7" x14ac:dyDescent="0.45">
      <c r="A9" s="6" t="s">
        <v>75</v>
      </c>
      <c r="B9" s="7" t="s">
        <v>76</v>
      </c>
      <c r="C9" s="10">
        <v>0.25</v>
      </c>
      <c r="D9" s="10">
        <v>0.5</v>
      </c>
      <c r="E9" s="10">
        <v>1.2</v>
      </c>
      <c r="F9" s="9" t="s">
        <v>77</v>
      </c>
      <c r="G9" s="6" t="s">
        <v>71</v>
      </c>
    </row>
    <row r="10" spans="1:7" x14ac:dyDescent="0.45">
      <c r="A10" s="6" t="s">
        <v>78</v>
      </c>
      <c r="B10" s="7" t="s">
        <v>79</v>
      </c>
      <c r="C10" s="10">
        <v>0.2</v>
      </c>
      <c r="D10" s="10">
        <v>0.4</v>
      </c>
      <c r="E10" s="10">
        <v>0.8</v>
      </c>
      <c r="F10" s="9" t="s">
        <v>80</v>
      </c>
      <c r="G10" s="6" t="s">
        <v>71</v>
      </c>
    </row>
    <row r="11" spans="1:7" x14ac:dyDescent="0.45">
      <c r="A11" s="6" t="s">
        <v>81</v>
      </c>
      <c r="B11" s="7" t="s">
        <v>82</v>
      </c>
      <c r="C11" s="10">
        <v>0.15</v>
      </c>
      <c r="D11" s="10">
        <v>0.35</v>
      </c>
      <c r="E11" s="10">
        <v>0.6</v>
      </c>
      <c r="F11" s="9" t="s">
        <v>83</v>
      </c>
      <c r="G11" s="6" t="s">
        <v>71</v>
      </c>
    </row>
    <row r="12" spans="1:7" x14ac:dyDescent="0.45">
      <c r="A12" s="6" t="s">
        <v>84</v>
      </c>
      <c r="B12" s="7" t="s">
        <v>85</v>
      </c>
      <c r="C12" s="10">
        <v>2.5000000000000001E-2</v>
      </c>
      <c r="D12" s="10">
        <v>4.4999999999999998E-2</v>
      </c>
      <c r="E12" s="10">
        <v>0.06</v>
      </c>
      <c r="F12" s="9" t="s">
        <v>86</v>
      </c>
      <c r="G12" s="6" t="s">
        <v>71</v>
      </c>
    </row>
    <row r="13" spans="1:7" x14ac:dyDescent="0.45">
      <c r="A13" s="11" t="s">
        <v>87</v>
      </c>
      <c r="B13" s="12" t="s">
        <v>88</v>
      </c>
      <c r="C13" s="13">
        <v>3.5</v>
      </c>
      <c r="D13" s="13">
        <v>3.5</v>
      </c>
      <c r="E13" s="13">
        <v>3.5</v>
      </c>
      <c r="F13" s="14" t="s">
        <v>448</v>
      </c>
      <c r="G13" s="11" t="s">
        <v>89</v>
      </c>
    </row>
    <row r="14" spans="1:7" x14ac:dyDescent="0.45">
      <c r="A14" s="11" t="s">
        <v>90</v>
      </c>
      <c r="B14" s="12" t="s">
        <v>91</v>
      </c>
      <c r="C14" s="15">
        <v>5.0000000000000001E-3</v>
      </c>
      <c r="D14" s="15">
        <v>0.01</v>
      </c>
      <c r="E14" s="15">
        <v>1.4999999999999999E-2</v>
      </c>
      <c r="F14" s="14" t="s">
        <v>92</v>
      </c>
      <c r="G14" s="11" t="s">
        <v>89</v>
      </c>
    </row>
    <row r="15" spans="1:7" x14ac:dyDescent="0.45">
      <c r="A15" s="11" t="s">
        <v>93</v>
      </c>
      <c r="B15" s="12" t="s">
        <v>94</v>
      </c>
      <c r="C15" s="13">
        <v>0</v>
      </c>
      <c r="D15" s="13">
        <v>50</v>
      </c>
      <c r="E15" s="13">
        <v>200</v>
      </c>
      <c r="F15" s="14" t="s">
        <v>95</v>
      </c>
      <c r="G15" s="11" t="s">
        <v>89</v>
      </c>
    </row>
    <row r="16" spans="1:7" x14ac:dyDescent="0.45">
      <c r="A16" s="11" t="s">
        <v>96</v>
      </c>
      <c r="B16" s="12" t="s">
        <v>97</v>
      </c>
      <c r="C16" s="13">
        <v>200</v>
      </c>
      <c r="D16" s="13">
        <v>350</v>
      </c>
      <c r="E16" s="13">
        <v>500</v>
      </c>
      <c r="F16" s="14" t="s">
        <v>98</v>
      </c>
      <c r="G16" s="11" t="s">
        <v>89</v>
      </c>
    </row>
    <row r="17" spans="1:7" x14ac:dyDescent="0.45">
      <c r="A17" s="11" t="s">
        <v>99</v>
      </c>
      <c r="B17" s="12" t="s">
        <v>100</v>
      </c>
      <c r="C17" s="16">
        <v>0.25</v>
      </c>
      <c r="D17" s="16">
        <v>0.5</v>
      </c>
      <c r="E17" s="16">
        <v>1</v>
      </c>
      <c r="F17" s="14" t="s">
        <v>101</v>
      </c>
      <c r="G17" s="11" t="s">
        <v>89</v>
      </c>
    </row>
    <row r="18" spans="1:7" x14ac:dyDescent="0.45">
      <c r="A18" s="68" t="s">
        <v>479</v>
      </c>
      <c r="B18" s="69" t="s">
        <v>480</v>
      </c>
      <c r="C18" s="70">
        <v>0.2</v>
      </c>
      <c r="D18" s="70">
        <v>0.15</v>
      </c>
      <c r="E18" s="70">
        <v>0.12</v>
      </c>
      <c r="F18" s="71" t="s">
        <v>481</v>
      </c>
      <c r="G18" s="68" t="s">
        <v>71</v>
      </c>
    </row>
    <row r="19" spans="1:7" x14ac:dyDescent="0.45">
      <c r="A19" s="17" t="s">
        <v>102</v>
      </c>
      <c r="B19" s="18" t="s">
        <v>103</v>
      </c>
      <c r="C19" s="19">
        <v>2.9999999999999997E-4</v>
      </c>
      <c r="D19" s="19">
        <v>8.0000000000000004E-4</v>
      </c>
      <c r="E19" s="19">
        <v>1.5E-3</v>
      </c>
      <c r="F19" s="21" t="s">
        <v>104</v>
      </c>
      <c r="G19" s="17" t="s">
        <v>105</v>
      </c>
    </row>
    <row r="20" spans="1:7" x14ac:dyDescent="0.45">
      <c r="A20" s="17" t="s">
        <v>106</v>
      </c>
      <c r="B20" s="18" t="s">
        <v>107</v>
      </c>
      <c r="C20" s="20">
        <v>0</v>
      </c>
      <c r="D20" s="20">
        <v>0</v>
      </c>
      <c r="E20" s="20">
        <v>25</v>
      </c>
      <c r="F20" s="21" t="s">
        <v>108</v>
      </c>
      <c r="G20" s="17" t="s">
        <v>105</v>
      </c>
    </row>
    <row r="21" spans="1:7" x14ac:dyDescent="0.45">
      <c r="A21" s="17" t="s">
        <v>109</v>
      </c>
      <c r="B21" s="18" t="s">
        <v>110</v>
      </c>
      <c r="C21" s="22">
        <v>0.85</v>
      </c>
      <c r="D21" s="22">
        <v>0.8</v>
      </c>
      <c r="E21" s="22">
        <v>0.75</v>
      </c>
      <c r="F21" s="21" t="s">
        <v>111</v>
      </c>
      <c r="G21" s="17" t="s">
        <v>105</v>
      </c>
    </row>
    <row r="22" spans="1:7" x14ac:dyDescent="0.45">
      <c r="A22" s="17" t="s">
        <v>112</v>
      </c>
      <c r="B22" s="18" t="s">
        <v>113</v>
      </c>
      <c r="C22" s="23">
        <v>5200000</v>
      </c>
      <c r="D22" s="23">
        <v>6050000</v>
      </c>
      <c r="E22" s="23">
        <v>7200000</v>
      </c>
      <c r="F22" s="21" t="s">
        <v>450</v>
      </c>
      <c r="G22" s="17" t="s">
        <v>105</v>
      </c>
    </row>
    <row r="23" spans="1:7" x14ac:dyDescent="0.45">
      <c r="A23" s="17" t="s">
        <v>114</v>
      </c>
      <c r="B23" s="18" t="s">
        <v>115</v>
      </c>
      <c r="C23" s="22">
        <v>0.25</v>
      </c>
      <c r="D23" s="22">
        <v>0.4</v>
      </c>
      <c r="E23" s="22">
        <v>0.8</v>
      </c>
      <c r="F23" s="21" t="s">
        <v>116</v>
      </c>
      <c r="G23" s="17" t="s">
        <v>105</v>
      </c>
    </row>
    <row r="24" spans="1:7" x14ac:dyDescent="0.45">
      <c r="A24" s="60" t="s">
        <v>477</v>
      </c>
      <c r="B24" s="61" t="s">
        <v>483</v>
      </c>
      <c r="C24" s="62">
        <v>0.22</v>
      </c>
      <c r="D24" s="62">
        <v>0.28000000000000003</v>
      </c>
      <c r="E24" s="62">
        <v>0.35</v>
      </c>
      <c r="F24" s="63" t="s">
        <v>484</v>
      </c>
      <c r="G24" s="60" t="s">
        <v>105</v>
      </c>
    </row>
    <row r="25" spans="1:7" x14ac:dyDescent="0.45">
      <c r="A25" s="6" t="s">
        <v>117</v>
      </c>
      <c r="B25" s="7" t="s">
        <v>118</v>
      </c>
      <c r="C25" s="8">
        <v>0</v>
      </c>
      <c r="D25" s="8">
        <v>8000000</v>
      </c>
      <c r="E25" s="8">
        <v>20000000</v>
      </c>
      <c r="F25" s="9" t="s">
        <v>119</v>
      </c>
      <c r="G25" s="6" t="s">
        <v>71</v>
      </c>
    </row>
    <row r="26" spans="1:7" x14ac:dyDescent="0.45">
      <c r="A26" s="11" t="s">
        <v>120</v>
      </c>
      <c r="B26" s="12" t="s">
        <v>121</v>
      </c>
      <c r="C26" s="13">
        <v>0</v>
      </c>
      <c r="D26" s="13">
        <v>6</v>
      </c>
      <c r="E26" s="13">
        <v>4</v>
      </c>
      <c r="F26" s="14" t="s">
        <v>122</v>
      </c>
      <c r="G26" s="11" t="s">
        <v>89</v>
      </c>
    </row>
    <row r="27" spans="1:7" x14ac:dyDescent="0.45">
      <c r="A27" s="24" t="s">
        <v>123</v>
      </c>
      <c r="B27" s="25" t="s">
        <v>124</v>
      </c>
      <c r="C27" s="26">
        <v>1500000</v>
      </c>
      <c r="D27" s="26">
        <v>1500000</v>
      </c>
      <c r="E27" s="26">
        <v>1500000</v>
      </c>
      <c r="F27" s="27" t="s">
        <v>125</v>
      </c>
      <c r="G27" s="24" t="s">
        <v>126</v>
      </c>
    </row>
  </sheetData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6640625" defaultRowHeight="14.25" x14ac:dyDescent="0.45"/>
  <cols>
    <col min="1" max="1" width="35" customWidth="1"/>
    <col min="2" max="6" width="16" customWidth="1"/>
    <col min="7" max="7" width="5" customWidth="1"/>
    <col min="8" max="12" width="16" customWidth="1"/>
    <col min="13" max="13" width="5" customWidth="1"/>
    <col min="14" max="18" width="16" customWidth="1"/>
  </cols>
  <sheetData>
    <row r="1" spans="1:18" ht="17.649999999999999" x14ac:dyDescent="0.5">
      <c r="A1" s="108" t="s">
        <v>127</v>
      </c>
      <c r="B1" s="108"/>
      <c r="C1" s="108"/>
      <c r="D1" s="108"/>
      <c r="E1" s="108"/>
      <c r="F1" s="108"/>
    </row>
    <row r="2" spans="1:18" x14ac:dyDescent="0.45">
      <c r="A2" s="1" t="s">
        <v>128</v>
      </c>
    </row>
    <row r="4" spans="1:18" x14ac:dyDescent="0.45">
      <c r="A4" s="28"/>
      <c r="B4" s="110" t="s">
        <v>129</v>
      </c>
      <c r="C4" s="110"/>
      <c r="D4" s="110"/>
      <c r="E4" s="110"/>
      <c r="F4" s="110"/>
      <c r="H4" s="111" t="s">
        <v>130</v>
      </c>
      <c r="I4" s="111"/>
      <c r="J4" s="111"/>
      <c r="K4" s="111"/>
      <c r="L4" s="111"/>
      <c r="N4" s="112" t="s">
        <v>131</v>
      </c>
      <c r="O4" s="112"/>
      <c r="P4" s="112"/>
      <c r="Q4" s="112"/>
      <c r="R4" s="112"/>
    </row>
    <row r="5" spans="1:18" x14ac:dyDescent="0.45">
      <c r="A5" s="29"/>
      <c r="B5" s="30" t="s">
        <v>132</v>
      </c>
      <c r="C5" s="30" t="s">
        <v>133</v>
      </c>
      <c r="D5" s="30" t="s">
        <v>134</v>
      </c>
      <c r="E5" s="30" t="s">
        <v>135</v>
      </c>
      <c r="F5" s="30" t="s">
        <v>136</v>
      </c>
      <c r="H5" s="30" t="s">
        <v>132</v>
      </c>
      <c r="I5" s="30" t="s">
        <v>133</v>
      </c>
      <c r="J5" s="30" t="s">
        <v>134</v>
      </c>
      <c r="K5" s="30" t="s">
        <v>135</v>
      </c>
      <c r="L5" s="30" t="s">
        <v>136</v>
      </c>
      <c r="N5" s="30" t="s">
        <v>132</v>
      </c>
      <c r="O5" s="30" t="s">
        <v>133</v>
      </c>
      <c r="P5" s="30" t="s">
        <v>134</v>
      </c>
      <c r="Q5" s="30" t="s">
        <v>135</v>
      </c>
      <c r="R5" s="30" t="s">
        <v>136</v>
      </c>
    </row>
    <row r="6" spans="1:18" x14ac:dyDescent="0.45">
      <c r="A6" s="31" t="s">
        <v>137</v>
      </c>
      <c r="B6" s="32"/>
      <c r="C6" s="32"/>
      <c r="D6" s="32"/>
      <c r="E6" s="32"/>
      <c r="F6" s="32"/>
      <c r="H6" s="32"/>
      <c r="I6" s="32"/>
      <c r="J6" s="32"/>
      <c r="K6" s="32"/>
      <c r="L6" s="32"/>
      <c r="N6" s="32"/>
      <c r="O6" s="32"/>
      <c r="P6" s="32"/>
      <c r="Q6" s="32"/>
      <c r="R6" s="32"/>
    </row>
    <row r="7" spans="1:18" x14ac:dyDescent="0.45">
      <c r="A7" s="33" t="s">
        <v>138</v>
      </c>
      <c r="B7" s="34">
        <f>Assumptions!C5</f>
        <v>210000000</v>
      </c>
      <c r="C7" s="34">
        <f>B7*(1+Assumptions!C8)</f>
        <v>273000000</v>
      </c>
      <c r="D7" s="34">
        <f>C7*(1+Assumptions!C9)</f>
        <v>341250000</v>
      </c>
      <c r="E7" s="34">
        <f>D7*(1+Assumptions!C10)</f>
        <v>409500000</v>
      </c>
      <c r="F7" s="34">
        <f>E7*(1+Assumptions!C11)</f>
        <v>470924999.99999994</v>
      </c>
      <c r="G7" s="35"/>
      <c r="H7" s="34">
        <f>Assumptions!D5</f>
        <v>332500000</v>
      </c>
      <c r="I7" s="34">
        <f>H7*(1+Assumptions!D8)</f>
        <v>532000000</v>
      </c>
      <c r="J7" s="34">
        <f>I7*(1+Assumptions!D9)</f>
        <v>798000000</v>
      </c>
      <c r="K7" s="34">
        <f>J7*(1+Assumptions!D10)</f>
        <v>1117200000</v>
      </c>
      <c r="L7" s="34">
        <f>K7*(1+Assumptions!D11)</f>
        <v>1508220000</v>
      </c>
      <c r="M7" s="35"/>
      <c r="N7" s="34">
        <f>Assumptions!E5</f>
        <v>498750000</v>
      </c>
      <c r="O7" s="34">
        <f>N7*(1+Assumptions!E8)</f>
        <v>1246875000</v>
      </c>
      <c r="P7" s="34">
        <f>O7*(1+Assumptions!E9)</f>
        <v>2743125000</v>
      </c>
      <c r="Q7" s="34">
        <f>P7*(1+Assumptions!E10)</f>
        <v>4937625000</v>
      </c>
      <c r="R7" s="34">
        <f>Q7*(1+Assumptions!E11)</f>
        <v>7900200000</v>
      </c>
    </row>
    <row r="8" spans="1:18" x14ac:dyDescent="0.45">
      <c r="A8" s="33" t="s">
        <v>139</v>
      </c>
      <c r="B8" s="36">
        <f>B7/Assumptions!C13</f>
        <v>60000000</v>
      </c>
      <c r="C8" s="36">
        <f>C7/Assumptions!C13</f>
        <v>78000000</v>
      </c>
      <c r="D8" s="36">
        <f>D7/Assumptions!C13</f>
        <v>97500000</v>
      </c>
      <c r="E8" s="36">
        <f>E7/Assumptions!C13</f>
        <v>117000000</v>
      </c>
      <c r="F8" s="36">
        <f>F7/Assumptions!C13</f>
        <v>134549999.99999997</v>
      </c>
      <c r="G8" s="35"/>
      <c r="H8" s="36">
        <f>H7/Assumptions!D13</f>
        <v>95000000</v>
      </c>
      <c r="I8" s="36">
        <f>I7/Assumptions!D13</f>
        <v>152000000</v>
      </c>
      <c r="J8" s="36">
        <f>J7/Assumptions!D13</f>
        <v>228000000</v>
      </c>
      <c r="K8" s="36">
        <f>K7/Assumptions!D13</f>
        <v>319200000</v>
      </c>
      <c r="L8" s="36">
        <f>L7/Assumptions!D13</f>
        <v>430920000</v>
      </c>
      <c r="M8" s="35"/>
      <c r="N8" s="36">
        <f>N7/Assumptions!E13</f>
        <v>142500000</v>
      </c>
      <c r="O8" s="36">
        <f>O7/Assumptions!E13</f>
        <v>356250000</v>
      </c>
      <c r="P8" s="36">
        <f>P7/Assumptions!E13</f>
        <v>783750000</v>
      </c>
      <c r="Q8" s="36">
        <f>Q7/Assumptions!E13</f>
        <v>1410750000</v>
      </c>
      <c r="R8" s="36">
        <f>R7/Assumptions!E13</f>
        <v>2257200000</v>
      </c>
    </row>
    <row r="9" spans="1:18" x14ac:dyDescent="0.45">
      <c r="A9" s="45" t="s">
        <v>140</v>
      </c>
      <c r="B9" s="55">
        <f>Assumptions!C16</f>
        <v>200</v>
      </c>
      <c r="C9" s="55">
        <f>B9*(1-Assumptions!C18)+B9*Assumptions!C17</f>
        <v>210</v>
      </c>
      <c r="D9" s="55">
        <f>C9*(1-Assumptions!C18)+C9*Assumptions!C17</f>
        <v>220.5</v>
      </c>
      <c r="E9" s="55">
        <f>D9*(1-Assumptions!C18)+D9*Assumptions!C17</f>
        <v>231.52500000000001</v>
      </c>
      <c r="F9" s="55">
        <f>E9*(1-Assumptions!C18)+E9*Assumptions!C17</f>
        <v>243.10125000000002</v>
      </c>
      <c r="G9" s="35"/>
      <c r="H9" s="55">
        <f>Assumptions!D16</f>
        <v>350</v>
      </c>
      <c r="I9" s="55">
        <f>H9*(1-Assumptions!D18)+H9*Assumptions!D17</f>
        <v>472.5</v>
      </c>
      <c r="J9" s="55">
        <f>I9*(1-Assumptions!D18)+I9*Assumptions!D17</f>
        <v>637.875</v>
      </c>
      <c r="K9" s="55">
        <f>J9*(1-Assumptions!D18)+J9*Assumptions!D17</f>
        <v>861.13125000000002</v>
      </c>
      <c r="L9" s="55">
        <f>K9*(1-Assumptions!D18)+K9*Assumptions!D17</f>
        <v>1162.5271875000001</v>
      </c>
      <c r="M9" s="35"/>
      <c r="N9" s="55">
        <f>Assumptions!E16</f>
        <v>500</v>
      </c>
      <c r="O9" s="55">
        <f>N9*(1-Assumptions!E18)+N9*Assumptions!E17</f>
        <v>940</v>
      </c>
      <c r="P9" s="55">
        <f>O9*(1-Assumptions!E18)+O9*Assumptions!E17</f>
        <v>1767.2</v>
      </c>
      <c r="Q9" s="55">
        <f>P9*(1-Assumptions!E18)+P9*Assumptions!E17</f>
        <v>3322.3360000000002</v>
      </c>
      <c r="R9" s="55">
        <f>Q9*(1-Assumptions!E18)+Q9*Assumptions!E17</f>
        <v>6245.991680000001</v>
      </c>
    </row>
    <row r="10" spans="1:18" x14ac:dyDescent="0.45">
      <c r="A10" s="56" t="s">
        <v>449</v>
      </c>
      <c r="B10" s="57">
        <f>Assumptions!C6</f>
        <v>8000</v>
      </c>
      <c r="C10" s="57">
        <f>C7/(Assumptions!C7*Assumptions!C13)</f>
        <v>10400</v>
      </c>
      <c r="D10" s="57">
        <f>D7/(Assumptions!C7*Assumptions!C13)</f>
        <v>13000</v>
      </c>
      <c r="E10" s="57">
        <f>E7/(Assumptions!C7*Assumptions!C13)</f>
        <v>15600</v>
      </c>
      <c r="F10" s="57">
        <f>F7/(Assumptions!C7*Assumptions!C13)</f>
        <v>17939.999999999996</v>
      </c>
      <c r="H10" s="57">
        <f>Assumptions!D6</f>
        <v>10000</v>
      </c>
      <c r="I10" s="57">
        <f>I7/(Assumptions!D7*Assumptions!D13)</f>
        <v>16000</v>
      </c>
      <c r="J10" s="57">
        <f>J7/(Assumptions!D7*Assumptions!D13)</f>
        <v>24000</v>
      </c>
      <c r="K10" s="57">
        <f>K7/(Assumptions!D7*Assumptions!D13)</f>
        <v>33600</v>
      </c>
      <c r="L10" s="57">
        <f>L7/(Assumptions!D7*Assumptions!D13)</f>
        <v>45360</v>
      </c>
      <c r="N10" s="57">
        <f>Assumptions!E6</f>
        <v>15000</v>
      </c>
      <c r="O10" s="57">
        <f>O7/(Assumptions!E7*Assumptions!E13)</f>
        <v>37500</v>
      </c>
      <c r="P10" s="57">
        <f>P7/(Assumptions!E7*Assumptions!E13)</f>
        <v>82500</v>
      </c>
      <c r="Q10" s="57">
        <f>Q7/(Assumptions!E7*Assumptions!E13)</f>
        <v>148500</v>
      </c>
      <c r="R10" s="57">
        <f>R7/(Assumptions!E7*Assumptions!E13)</f>
        <v>237600</v>
      </c>
    </row>
    <row r="12" spans="1:18" x14ac:dyDescent="0.45">
      <c r="A12" s="31" t="s">
        <v>141</v>
      </c>
      <c r="B12" s="32"/>
      <c r="C12" s="32"/>
      <c r="D12" s="32"/>
      <c r="E12" s="32"/>
      <c r="F12" s="32"/>
      <c r="H12" s="32"/>
      <c r="I12" s="32"/>
      <c r="J12" s="32"/>
      <c r="K12" s="32"/>
      <c r="L12" s="32"/>
      <c r="N12" s="32"/>
      <c r="O12" s="32"/>
      <c r="P12" s="32"/>
      <c r="Q12" s="32"/>
      <c r="R12" s="32"/>
    </row>
    <row r="13" spans="1:18" x14ac:dyDescent="0.45">
      <c r="A13" s="33" t="s">
        <v>142</v>
      </c>
      <c r="B13" s="34">
        <f>B8*Assumptions!C12</f>
        <v>1500000</v>
      </c>
      <c r="C13" s="34">
        <f>C8*Assumptions!C12</f>
        <v>1950000</v>
      </c>
      <c r="D13" s="34">
        <f>D8*Assumptions!C12</f>
        <v>2437500</v>
      </c>
      <c r="E13" s="34">
        <f>E8*Assumptions!C12</f>
        <v>2925000</v>
      </c>
      <c r="F13" s="34">
        <f>F8*Assumptions!C12</f>
        <v>3363749.9999999995</v>
      </c>
      <c r="G13" s="35"/>
      <c r="H13" s="34">
        <f>H8*Assumptions!D12</f>
        <v>4275000</v>
      </c>
      <c r="I13" s="34">
        <f>I8*Assumptions!D12</f>
        <v>6840000</v>
      </c>
      <c r="J13" s="34">
        <f>J8*Assumptions!D12</f>
        <v>10260000</v>
      </c>
      <c r="K13" s="34">
        <f>K8*Assumptions!D12</f>
        <v>14364000</v>
      </c>
      <c r="L13" s="34">
        <f>L8*Assumptions!D12</f>
        <v>19391400</v>
      </c>
      <c r="M13" s="35"/>
      <c r="N13" s="34">
        <f>N8*Assumptions!E12</f>
        <v>8550000</v>
      </c>
      <c r="O13" s="34">
        <f>O8*Assumptions!E12</f>
        <v>21375000</v>
      </c>
      <c r="P13" s="34">
        <f>P8*Assumptions!E12</f>
        <v>47025000</v>
      </c>
      <c r="Q13" s="34">
        <f>Q8*Assumptions!E12</f>
        <v>84645000</v>
      </c>
      <c r="R13" s="34">
        <f>R8*Assumptions!E12</f>
        <v>135432000</v>
      </c>
    </row>
    <row r="14" spans="1:18" x14ac:dyDescent="0.45">
      <c r="A14" s="33" t="s">
        <v>143</v>
      </c>
      <c r="B14" s="34">
        <f>B7*Assumptions!C14</f>
        <v>1050000</v>
      </c>
      <c r="C14" s="34">
        <f>C7*Assumptions!C14</f>
        <v>1365000</v>
      </c>
      <c r="D14" s="34">
        <f>D7*Assumptions!C14</f>
        <v>1706250</v>
      </c>
      <c r="E14" s="34">
        <f>E7*Assumptions!C14</f>
        <v>2047500</v>
      </c>
      <c r="F14" s="34">
        <f>F7*Assumptions!C14</f>
        <v>2354624.9999999995</v>
      </c>
      <c r="G14" s="35"/>
      <c r="H14" s="34">
        <f>H7*Assumptions!D14</f>
        <v>3325000</v>
      </c>
      <c r="I14" s="34">
        <f>I7*Assumptions!D14</f>
        <v>5320000</v>
      </c>
      <c r="J14" s="34">
        <f>J7*Assumptions!D14</f>
        <v>7980000</v>
      </c>
      <c r="K14" s="34">
        <f>K7*Assumptions!D14</f>
        <v>11172000</v>
      </c>
      <c r="L14" s="34">
        <f>L7*Assumptions!D14</f>
        <v>15082200</v>
      </c>
      <c r="M14" s="35"/>
      <c r="N14" s="34">
        <f>N7*Assumptions!E14</f>
        <v>7481250</v>
      </c>
      <c r="O14" s="34">
        <f>O7*Assumptions!E14</f>
        <v>18703125</v>
      </c>
      <c r="P14" s="34">
        <f>P7*Assumptions!E14</f>
        <v>41146875</v>
      </c>
      <c r="Q14" s="34">
        <f>Q7*Assumptions!E14</f>
        <v>74064375</v>
      </c>
      <c r="R14" s="34">
        <f>R7*Assumptions!E14</f>
        <v>118503000</v>
      </c>
    </row>
    <row r="15" spans="1:18" x14ac:dyDescent="0.45">
      <c r="A15" s="33" t="s">
        <v>144</v>
      </c>
      <c r="B15" s="34">
        <f>B7*Assumptions!C19</f>
        <v>62999.999999999993</v>
      </c>
      <c r="C15" s="34">
        <f>C7*Assumptions!C19</f>
        <v>81900</v>
      </c>
      <c r="D15" s="34">
        <f>D7*Assumptions!C19</f>
        <v>102374.99999999999</v>
      </c>
      <c r="E15" s="34">
        <f>E7*Assumptions!C19</f>
        <v>122849.99999999999</v>
      </c>
      <c r="F15" s="34">
        <f>F7*Assumptions!C19</f>
        <v>141277.49999999997</v>
      </c>
      <c r="G15" s="35"/>
      <c r="H15" s="34">
        <f>H7*Assumptions!D19</f>
        <v>266000</v>
      </c>
      <c r="I15" s="34">
        <f>I7*Assumptions!D19</f>
        <v>425600</v>
      </c>
      <c r="J15" s="34">
        <f>J7*Assumptions!D19</f>
        <v>638400</v>
      </c>
      <c r="K15" s="34">
        <f>K7*Assumptions!D19</f>
        <v>893760</v>
      </c>
      <c r="L15" s="34">
        <f>L7*Assumptions!D19</f>
        <v>1206576</v>
      </c>
      <c r="M15" s="35"/>
      <c r="N15" s="34">
        <f>N7*Assumptions!E19</f>
        <v>748125</v>
      </c>
      <c r="O15" s="34">
        <f>O7*Assumptions!E19</f>
        <v>1870312.5</v>
      </c>
      <c r="P15" s="34">
        <f>P7*Assumptions!E19</f>
        <v>4114687.5</v>
      </c>
      <c r="Q15" s="34">
        <f>Q7*Assumptions!E19</f>
        <v>7406437.5</v>
      </c>
      <c r="R15" s="34">
        <f>R7*Assumptions!E19</f>
        <v>11850300</v>
      </c>
    </row>
    <row r="16" spans="1:18" x14ac:dyDescent="0.45">
      <c r="A16" s="33" t="s">
        <v>145</v>
      </c>
      <c r="B16" s="34">
        <f>B9*Assumptions!C15*12</f>
        <v>0</v>
      </c>
      <c r="C16" s="34">
        <f>C9*Assumptions!C15*12</f>
        <v>0</v>
      </c>
      <c r="D16" s="34">
        <f>D9*Assumptions!C15*12</f>
        <v>0</v>
      </c>
      <c r="E16" s="34">
        <f>E9*Assumptions!C15*12</f>
        <v>0</v>
      </c>
      <c r="F16" s="34">
        <f>F9*Assumptions!C15*12</f>
        <v>0</v>
      </c>
      <c r="G16" s="35"/>
      <c r="H16" s="34">
        <f>H9*Assumptions!D15*12</f>
        <v>210000</v>
      </c>
      <c r="I16" s="34">
        <f>I9*Assumptions!D15*12</f>
        <v>283500</v>
      </c>
      <c r="J16" s="34">
        <f>J9*Assumptions!D15*12</f>
        <v>382725</v>
      </c>
      <c r="K16" s="34">
        <f>K9*Assumptions!D15*12</f>
        <v>516678.75</v>
      </c>
      <c r="L16" s="34">
        <f>L9*Assumptions!D15*12</f>
        <v>697516.31250000012</v>
      </c>
      <c r="M16" s="35"/>
      <c r="N16" s="34">
        <f>N9*Assumptions!E15*12</f>
        <v>1200000</v>
      </c>
      <c r="O16" s="34">
        <f>O9*Assumptions!E15*12</f>
        <v>2256000</v>
      </c>
      <c r="P16" s="34">
        <f>P9*Assumptions!E15*12</f>
        <v>4241280</v>
      </c>
      <c r="Q16" s="34">
        <f>Q9*Assumptions!E15*12</f>
        <v>7973606.4000000004</v>
      </c>
      <c r="R16" s="34">
        <f>R9*Assumptions!E15*12</f>
        <v>14990380.032000002</v>
      </c>
    </row>
    <row r="17" spans="1:18" x14ac:dyDescent="0.45">
      <c r="A17" s="33" t="s">
        <v>146</v>
      </c>
      <c r="B17" s="34">
        <f>B9*Assumptions!C20*12</f>
        <v>0</v>
      </c>
      <c r="C17" s="34">
        <f>C9*Assumptions!C20*12</f>
        <v>0</v>
      </c>
      <c r="D17" s="34">
        <f>D9*Assumptions!C20*12</f>
        <v>0</v>
      </c>
      <c r="E17" s="34">
        <f>E9*Assumptions!C20*12</f>
        <v>0</v>
      </c>
      <c r="F17" s="34">
        <f>F9*Assumptions!C20*12</f>
        <v>0</v>
      </c>
      <c r="G17" s="35"/>
      <c r="H17" s="34">
        <f>H9*Assumptions!D20*12</f>
        <v>0</v>
      </c>
      <c r="I17" s="34">
        <f>I9*Assumptions!D20*12</f>
        <v>0</v>
      </c>
      <c r="J17" s="34">
        <f>J9*Assumptions!D20*12</f>
        <v>0</v>
      </c>
      <c r="K17" s="34">
        <f>K9*Assumptions!D20*12</f>
        <v>0</v>
      </c>
      <c r="L17" s="34">
        <f>L9*Assumptions!D20*12</f>
        <v>0</v>
      </c>
      <c r="M17" s="35"/>
      <c r="N17" s="34">
        <f>N9*Assumptions!E20*12</f>
        <v>150000</v>
      </c>
      <c r="O17" s="34">
        <f>O9*Assumptions!E20*12</f>
        <v>282000</v>
      </c>
      <c r="P17" s="34">
        <f>P9*Assumptions!E20*12</f>
        <v>530160</v>
      </c>
      <c r="Q17" s="34">
        <f>Q9*Assumptions!E20*12</f>
        <v>996700.8</v>
      </c>
      <c r="R17" s="34">
        <f>R9*Assumptions!E20*12</f>
        <v>1873797.5040000002</v>
      </c>
    </row>
    <row r="18" spans="1:18" x14ac:dyDescent="0.45">
      <c r="A18" s="4" t="s">
        <v>147</v>
      </c>
      <c r="B18" s="37">
        <f>SUM(B13:B17)</f>
        <v>2613000</v>
      </c>
      <c r="C18" s="37">
        <f>SUM(C13:C17)</f>
        <v>3396900</v>
      </c>
      <c r="D18" s="37">
        <f>SUM(D13:D17)</f>
        <v>4246125</v>
      </c>
      <c r="E18" s="37">
        <f>SUM(E13:E17)</f>
        <v>5095350</v>
      </c>
      <c r="F18" s="37">
        <f>SUM(F13:F17)</f>
        <v>5859652.4999999991</v>
      </c>
      <c r="G18" s="35"/>
      <c r="H18" s="37">
        <f>SUM(H13:H17)</f>
        <v>8076000</v>
      </c>
      <c r="I18" s="37">
        <f>SUM(I13:I17)</f>
        <v>12869100</v>
      </c>
      <c r="J18" s="37">
        <f>SUM(J13:J17)</f>
        <v>19261125</v>
      </c>
      <c r="K18" s="37">
        <f>SUM(K13:K17)</f>
        <v>26946438.75</v>
      </c>
      <c r="L18" s="37">
        <f>SUM(L13:L17)</f>
        <v>36377692.3125</v>
      </c>
      <c r="M18" s="35"/>
      <c r="N18" s="37">
        <f>SUM(N13:N17)</f>
        <v>18129375</v>
      </c>
      <c r="O18" s="37">
        <f>SUM(O13:O17)</f>
        <v>44486437.5</v>
      </c>
      <c r="P18" s="37">
        <f>SUM(P13:P17)</f>
        <v>97058002.5</v>
      </c>
      <c r="Q18" s="37">
        <f>SUM(Q13:Q17)</f>
        <v>175086119.70000002</v>
      </c>
      <c r="R18" s="37">
        <f>SUM(R13:R17)</f>
        <v>282649477.53600001</v>
      </c>
    </row>
    <row r="20" spans="1:18" x14ac:dyDescent="0.45">
      <c r="A20" s="31" t="s">
        <v>148</v>
      </c>
      <c r="B20" s="32"/>
      <c r="C20" s="32"/>
      <c r="D20" s="32"/>
      <c r="E20" s="32"/>
      <c r="F20" s="32"/>
      <c r="H20" s="32"/>
      <c r="I20" s="32"/>
      <c r="J20" s="32"/>
      <c r="K20" s="32"/>
      <c r="L20" s="32"/>
      <c r="N20" s="32"/>
      <c r="O20" s="32"/>
      <c r="P20" s="32"/>
      <c r="Q20" s="32"/>
      <c r="R20" s="32"/>
    </row>
    <row r="21" spans="1:18" x14ac:dyDescent="0.45">
      <c r="A21" s="33" t="s">
        <v>149</v>
      </c>
      <c r="B21" s="34">
        <f>B13*Assumptions!C21+B14+B15+B16+B17</f>
        <v>2388000</v>
      </c>
      <c r="C21" s="34">
        <f>C13*Assumptions!C21+C14+C15+C16+C17</f>
        <v>3104400</v>
      </c>
      <c r="D21" s="34">
        <f>D13*Assumptions!C21+D14+D15+D16+D17</f>
        <v>3880500</v>
      </c>
      <c r="E21" s="34">
        <f>E13*Assumptions!C21+E14+E15+E16+E17</f>
        <v>4656600</v>
      </c>
      <c r="F21" s="34">
        <f>F13*Assumptions!C21+F14+F15+F16+F17</f>
        <v>5355089.9999999991</v>
      </c>
      <c r="G21" s="35"/>
      <c r="H21" s="34">
        <f>H13*Assumptions!D21+H14+H15+H16+H17</f>
        <v>7221000</v>
      </c>
      <c r="I21" s="34">
        <f>I13*Assumptions!D21+I14+I15+I16+I17</f>
        <v>11501100</v>
      </c>
      <c r="J21" s="34">
        <f>J13*Assumptions!D21+J14+J15+J16+J17</f>
        <v>17209125</v>
      </c>
      <c r="K21" s="34">
        <f>K13*Assumptions!D21+K14+K15+K16+K17</f>
        <v>24073638.75</v>
      </c>
      <c r="L21" s="34">
        <f>L13*Assumptions!D21+L14+L15+L16+L17</f>
        <v>32499412.3125</v>
      </c>
      <c r="M21" s="35"/>
      <c r="N21" s="34">
        <f>N13*Assumptions!E21+N14+N15+N16+N17</f>
        <v>15991875</v>
      </c>
      <c r="O21" s="34">
        <f>O13*Assumptions!E21+O14+O15+O16+O17</f>
        <v>39142687.5</v>
      </c>
      <c r="P21" s="34">
        <f>P13*Assumptions!E21+P14+P15+P16+P17</f>
        <v>85301752.5</v>
      </c>
      <c r="Q21" s="34">
        <f>Q13*Assumptions!E21+Q14+Q15+Q16+Q17</f>
        <v>153924869.70000002</v>
      </c>
      <c r="R21" s="34">
        <f>R13*Assumptions!E21+R14+R15+R16+R17</f>
        <v>248791477.53600001</v>
      </c>
    </row>
    <row r="22" spans="1:18" x14ac:dyDescent="0.45">
      <c r="A22" s="33" t="s">
        <v>150</v>
      </c>
      <c r="B22" s="34">
        <f>Assumptions!C22</f>
        <v>5200000</v>
      </c>
      <c r="C22" s="34">
        <f>B22*(1+Assumptions!C23)</f>
        <v>6500000</v>
      </c>
      <c r="D22" s="34">
        <f>C22*(1+Assumptions!C23)</f>
        <v>8125000</v>
      </c>
      <c r="E22" s="34">
        <f>D22*(1+Assumptions!C23)</f>
        <v>10156250</v>
      </c>
      <c r="F22" s="34">
        <f>E22*(1+Assumptions!C23)</f>
        <v>12695312.5</v>
      </c>
      <c r="G22" s="35"/>
      <c r="H22" s="34">
        <f>Assumptions!D22</f>
        <v>6050000</v>
      </c>
      <c r="I22" s="34">
        <f>H22*(1+Assumptions!D23)</f>
        <v>8470000</v>
      </c>
      <c r="J22" s="34">
        <f>I22*(1+Assumptions!D23)</f>
        <v>11858000</v>
      </c>
      <c r="K22" s="34">
        <f>J22*(1+Assumptions!D23)</f>
        <v>16601199.999999998</v>
      </c>
      <c r="L22" s="34">
        <f>K22*(1+Assumptions!D23)</f>
        <v>23241679.999999996</v>
      </c>
      <c r="M22" s="35"/>
      <c r="N22" s="34">
        <f>Assumptions!E22</f>
        <v>7200000</v>
      </c>
      <c r="O22" s="34">
        <f>N22*(1+Assumptions!E23)</f>
        <v>12960000</v>
      </c>
      <c r="P22" s="34">
        <f>O22*(1+Assumptions!E23)</f>
        <v>23328000</v>
      </c>
      <c r="Q22" s="34">
        <f>P22*(1+Assumptions!E23)</f>
        <v>41990400</v>
      </c>
      <c r="R22" s="34">
        <f>Q22*(1+Assumptions!E23)</f>
        <v>75582720</v>
      </c>
    </row>
    <row r="23" spans="1:18" x14ac:dyDescent="0.45">
      <c r="A23" s="4" t="s">
        <v>151</v>
      </c>
      <c r="B23" s="38">
        <f>B21-B22</f>
        <v>-2812000</v>
      </c>
      <c r="C23" s="38">
        <f>C21-C22</f>
        <v>-3395600</v>
      </c>
      <c r="D23" s="38">
        <f>D21-D22</f>
        <v>-4244500</v>
      </c>
      <c r="E23" s="38">
        <f>E21-E22</f>
        <v>-5499650</v>
      </c>
      <c r="F23" s="38">
        <f>F21-F22</f>
        <v>-7340222.5000000009</v>
      </c>
      <c r="G23" s="35"/>
      <c r="H23" s="37">
        <f>H21-H22</f>
        <v>1171000</v>
      </c>
      <c r="I23" s="37">
        <f>I21-I22</f>
        <v>3031100</v>
      </c>
      <c r="J23" s="37">
        <f>J21-J22</f>
        <v>5351125</v>
      </c>
      <c r="K23" s="37">
        <f>K21-K22</f>
        <v>7472438.7500000019</v>
      </c>
      <c r="L23" s="37">
        <f>L21-L22</f>
        <v>9257732.3125000037</v>
      </c>
      <c r="M23" s="35"/>
      <c r="N23" s="37">
        <f>N21-N22</f>
        <v>8791875</v>
      </c>
      <c r="O23" s="37">
        <f>O21-O22</f>
        <v>26182687.5</v>
      </c>
      <c r="P23" s="37">
        <f>P21-P22</f>
        <v>61973752.5</v>
      </c>
      <c r="Q23" s="37">
        <f>Q21-Q22</f>
        <v>111934469.70000002</v>
      </c>
      <c r="R23" s="37">
        <f>R21-R22</f>
        <v>173208757.53600001</v>
      </c>
    </row>
    <row r="25" spans="1:18" x14ac:dyDescent="0.45">
      <c r="A25" s="31" t="s">
        <v>152</v>
      </c>
      <c r="B25" s="32"/>
      <c r="C25" s="32"/>
      <c r="D25" s="32"/>
      <c r="E25" s="32"/>
      <c r="F25" s="32"/>
      <c r="H25" s="32"/>
      <c r="I25" s="32"/>
      <c r="J25" s="32"/>
      <c r="K25" s="32"/>
      <c r="L25" s="32"/>
      <c r="N25" s="32"/>
      <c r="O25" s="32"/>
      <c r="P25" s="32"/>
      <c r="Q25" s="32"/>
      <c r="R25" s="32"/>
    </row>
    <row r="26" spans="1:18" x14ac:dyDescent="0.45">
      <c r="A26" s="4" t="s">
        <v>153</v>
      </c>
      <c r="B26" s="34">
        <f>Assumptions!C25</f>
        <v>0</v>
      </c>
      <c r="C26" s="33" t="s">
        <v>154</v>
      </c>
      <c r="D26" s="33" t="s">
        <v>154</v>
      </c>
      <c r="E26" s="33" t="s">
        <v>154</v>
      </c>
      <c r="F26" s="33" t="s">
        <v>154</v>
      </c>
      <c r="G26" s="35"/>
      <c r="H26" s="34">
        <f>Assumptions!D25</f>
        <v>8000000</v>
      </c>
      <c r="I26" s="33" t="s">
        <v>154</v>
      </c>
      <c r="J26" s="33" t="s">
        <v>154</v>
      </c>
      <c r="K26" s="33" t="s">
        <v>154</v>
      </c>
      <c r="L26" s="33" t="s">
        <v>154</v>
      </c>
      <c r="M26" s="35"/>
      <c r="N26" s="34">
        <f>Assumptions!E25</f>
        <v>20000000</v>
      </c>
      <c r="O26" s="33" t="s">
        <v>154</v>
      </c>
      <c r="P26" s="33" t="s">
        <v>154</v>
      </c>
      <c r="Q26" s="33" t="s">
        <v>154</v>
      </c>
      <c r="R26" s="33" t="s">
        <v>154</v>
      </c>
    </row>
    <row r="27" spans="1:18" x14ac:dyDescent="0.45">
      <c r="A27" s="33" t="s">
        <v>155</v>
      </c>
      <c r="B27" s="34">
        <f>Assumptions!C27+B26+B23</f>
        <v>-1312000</v>
      </c>
      <c r="C27" s="34">
        <f>B27+C23</f>
        <v>-4707600</v>
      </c>
      <c r="D27" s="39">
        <f>C27+D23</f>
        <v>-8952100</v>
      </c>
      <c r="E27" s="39">
        <f>D27+E23</f>
        <v>-14451750</v>
      </c>
      <c r="F27" s="39">
        <f>E27+F23</f>
        <v>-21791972.5</v>
      </c>
      <c r="G27" s="35"/>
      <c r="H27" s="34">
        <f>Assumptions!D27+H26+H23</f>
        <v>10671000</v>
      </c>
      <c r="I27" s="34">
        <f>H27+I23</f>
        <v>13702100</v>
      </c>
      <c r="J27" s="34">
        <f>I27+J23</f>
        <v>19053225</v>
      </c>
      <c r="K27" s="34">
        <f>J27+K23</f>
        <v>26525663.75</v>
      </c>
      <c r="L27" s="34">
        <f>K27+L23</f>
        <v>35783396.0625</v>
      </c>
      <c r="M27" s="35"/>
      <c r="N27" s="34">
        <f>Assumptions!E27+N26+N23</f>
        <v>30291875</v>
      </c>
      <c r="O27" s="34">
        <f>N27+O23</f>
        <v>56474562.5</v>
      </c>
      <c r="P27" s="34">
        <f>O27+P23</f>
        <v>118448315</v>
      </c>
      <c r="Q27" s="34">
        <f>P27+Q23</f>
        <v>230382784.70000002</v>
      </c>
      <c r="R27" s="34">
        <f>Q27+R23</f>
        <v>403591542.23600006</v>
      </c>
    </row>
    <row r="29" spans="1:18" x14ac:dyDescent="0.45">
      <c r="A29" s="29" t="s">
        <v>156</v>
      </c>
      <c r="B29" s="40">
        <f>B23/B18</f>
        <v>-1.0761576731725986</v>
      </c>
      <c r="C29" s="40">
        <f>C23/C18</f>
        <v>-0.99961729812476086</v>
      </c>
      <c r="D29" s="40">
        <f>D23/D18</f>
        <v>-0.99961729812476086</v>
      </c>
      <c r="E29" s="40">
        <f>E23/E18</f>
        <v>-1.0793468554662584</v>
      </c>
      <c r="F29" s="40">
        <f>F23/F18</f>
        <v>-1.2526719801216886</v>
      </c>
      <c r="H29" s="41">
        <f>H23/H18</f>
        <v>0.14499752352649828</v>
      </c>
      <c r="I29" s="41">
        <f>I23/I18</f>
        <v>0.23553317636819979</v>
      </c>
      <c r="J29" s="41">
        <f>J23/J18</f>
        <v>0.27781996119125962</v>
      </c>
      <c r="K29" s="41">
        <f>K23/K18</f>
        <v>0.27730709869778253</v>
      </c>
      <c r="L29" s="41">
        <f>L23/L18</f>
        <v>0.25448926866971405</v>
      </c>
      <c r="N29" s="41">
        <f>N23/N18</f>
        <v>0.48495190816009931</v>
      </c>
      <c r="O29" s="41">
        <f>O23/O18</f>
        <v>0.58855437682552125</v>
      </c>
      <c r="P29" s="41">
        <f>P23/P18</f>
        <v>0.63852285132284692</v>
      </c>
      <c r="Q29" s="41">
        <f>Q23/Q18</f>
        <v>0.63931092819803925</v>
      </c>
      <c r="R29" s="41">
        <f>R23/R18</f>
        <v>0.61280409589272655</v>
      </c>
    </row>
    <row r="30" spans="1:18" x14ac:dyDescent="0.45">
      <c r="A30" s="29" t="s">
        <v>157</v>
      </c>
      <c r="B30" s="42">
        <f>B18/B10</f>
        <v>326.625</v>
      </c>
      <c r="C30" s="42">
        <f>C18/C10</f>
        <v>326.625</v>
      </c>
      <c r="D30" s="42">
        <f>D18/D10</f>
        <v>326.625</v>
      </c>
      <c r="E30" s="42">
        <f>E18/E10</f>
        <v>326.625</v>
      </c>
      <c r="F30" s="42">
        <f>F18/F10</f>
        <v>326.625</v>
      </c>
      <c r="H30" s="42">
        <f>H18/H10</f>
        <v>807.6</v>
      </c>
      <c r="I30" s="42">
        <f>I18/I10</f>
        <v>804.31875000000002</v>
      </c>
      <c r="J30" s="42">
        <f>J18/J10</f>
        <v>802.546875</v>
      </c>
      <c r="K30" s="42">
        <f>K18/K10</f>
        <v>801.97734375000005</v>
      </c>
      <c r="L30" s="42">
        <f>L18/L10</f>
        <v>801.97734375000005</v>
      </c>
      <c r="N30" s="42">
        <f>N18/N10</f>
        <v>1208.625</v>
      </c>
      <c r="O30" s="42">
        <f>O18/O10</f>
        <v>1186.3050000000001</v>
      </c>
      <c r="P30" s="42">
        <f>P18/P10</f>
        <v>1176.4606363636365</v>
      </c>
      <c r="Q30" s="42">
        <f>Q18/Q10</f>
        <v>1179.0311090909092</v>
      </c>
      <c r="R30" s="42">
        <f>R18/R10</f>
        <v>1189.6021781818183</v>
      </c>
    </row>
    <row r="31" spans="1:18" x14ac:dyDescent="0.45">
      <c r="A31" s="64" t="s">
        <v>485</v>
      </c>
      <c r="B31" s="65">
        <f>B22*Assumptions!C24</f>
        <v>1144000</v>
      </c>
      <c r="C31" s="65">
        <f>C22*Assumptions!C24</f>
        <v>1430000</v>
      </c>
      <c r="D31" s="65">
        <f>D22*Assumptions!C24</f>
        <v>1787500</v>
      </c>
      <c r="E31" s="65">
        <f>E22*Assumptions!C24</f>
        <v>2234375</v>
      </c>
      <c r="F31" s="65">
        <f>F22*Assumptions!C24</f>
        <v>2792968.75</v>
      </c>
      <c r="H31" s="65">
        <f>H22*Assumptions!D24</f>
        <v>1694000.0000000002</v>
      </c>
      <c r="I31" s="65">
        <f>I22*Assumptions!D24</f>
        <v>2371600</v>
      </c>
      <c r="J31" s="65">
        <f>J22*Assumptions!D24</f>
        <v>3320240.0000000005</v>
      </c>
      <c r="K31" s="65">
        <f>K22*Assumptions!D24</f>
        <v>4648336</v>
      </c>
      <c r="L31" s="65">
        <f>L22*Assumptions!D24</f>
        <v>6507670.3999999994</v>
      </c>
      <c r="N31" s="65">
        <f>N22*Assumptions!E24</f>
        <v>2520000</v>
      </c>
      <c r="O31" s="65">
        <f>O22*Assumptions!E24</f>
        <v>4536000</v>
      </c>
      <c r="P31" s="65">
        <f>P22*Assumptions!E24</f>
        <v>8164799.9999999991</v>
      </c>
      <c r="Q31" s="65">
        <f>Q22*Assumptions!E24</f>
        <v>14696639.999999998</v>
      </c>
      <c r="R31" s="65">
        <f>R22*Assumptions!E24</f>
        <v>26453952</v>
      </c>
    </row>
    <row r="32" spans="1:18" x14ac:dyDescent="0.45">
      <c r="A32" s="45" t="s">
        <v>482</v>
      </c>
      <c r="B32" s="66">
        <f>B9</f>
        <v>200</v>
      </c>
      <c r="C32" s="66">
        <f>B9*Assumptions!C17</f>
        <v>50</v>
      </c>
      <c r="D32" s="66">
        <f>C9*Assumptions!C17</f>
        <v>52.5</v>
      </c>
      <c r="E32" s="66">
        <f>D9*Assumptions!C17</f>
        <v>55.125</v>
      </c>
      <c r="F32" s="66">
        <f>E9*Assumptions!C17</f>
        <v>57.881250000000001</v>
      </c>
      <c r="H32" s="66">
        <f>H9</f>
        <v>350</v>
      </c>
      <c r="I32" s="66">
        <f>H9*Assumptions!D17</f>
        <v>175</v>
      </c>
      <c r="J32" s="66">
        <f>I9*Assumptions!D17</f>
        <v>236.25</v>
      </c>
      <c r="K32" s="66">
        <f>J9*Assumptions!D17</f>
        <v>318.9375</v>
      </c>
      <c r="L32" s="66">
        <f>K9*Assumptions!D17</f>
        <v>430.56562500000001</v>
      </c>
      <c r="N32" s="66">
        <f>N9</f>
        <v>500</v>
      </c>
      <c r="O32" s="66">
        <f>N9*Assumptions!E17</f>
        <v>500</v>
      </c>
      <c r="P32" s="66">
        <f>O9*Assumptions!E17</f>
        <v>940</v>
      </c>
      <c r="Q32" s="66">
        <f>P9*Assumptions!E17</f>
        <v>1767.2</v>
      </c>
      <c r="R32" s="66">
        <f>Q9*Assumptions!E17</f>
        <v>3322.3360000000002</v>
      </c>
    </row>
    <row r="33" spans="1:18" x14ac:dyDescent="0.45">
      <c r="A33" s="29" t="s">
        <v>478</v>
      </c>
      <c r="B33" s="67">
        <f>IF(B32=0,"-",B31/B32)</f>
        <v>5720</v>
      </c>
      <c r="C33" s="67">
        <f>IF(C32=0,"-",C31/C32)</f>
        <v>28600</v>
      </c>
      <c r="D33" s="67">
        <f>IF(D32=0,"-",D31/D32)</f>
        <v>34047.619047619046</v>
      </c>
      <c r="E33" s="67">
        <f>IF(E32=0,"-",E31/E32)</f>
        <v>40532.879818594105</v>
      </c>
      <c r="F33" s="67">
        <f>IF(F32=0,"-",F31/F32)</f>
        <v>48253.428355469172</v>
      </c>
      <c r="H33" s="67">
        <f>IF(H32=0,"-",H31/H32)</f>
        <v>4840.0000000000009</v>
      </c>
      <c r="I33" s="67">
        <f>IF(I32=0,"-",I31/I32)</f>
        <v>13552</v>
      </c>
      <c r="J33" s="67">
        <f>IF(J32=0,"-",J31/J32)</f>
        <v>14053.925925925927</v>
      </c>
      <c r="K33" s="67">
        <f>IF(K32=0,"-",K31/K32)</f>
        <v>14574.44170096022</v>
      </c>
      <c r="L33" s="67">
        <f>IF(L32=0,"-",L31/L32)</f>
        <v>15114.235838032819</v>
      </c>
      <c r="N33" s="67">
        <f>IF(N32=0,"-",N31/N32)</f>
        <v>5040</v>
      </c>
      <c r="O33" s="67">
        <f>IF(O32=0,"-",O31/O32)</f>
        <v>9072</v>
      </c>
      <c r="P33" s="67">
        <f>IF(P32=0,"-",P31/P32)</f>
        <v>8685.9574468085102</v>
      </c>
      <c r="Q33" s="67">
        <f>IF(Q32=0,"-",Q31/Q32)</f>
        <v>8316.3422363060199</v>
      </c>
      <c r="R33" s="67">
        <f>IF(R32=0,"-",R31/R32)</f>
        <v>7962.4553326334235</v>
      </c>
    </row>
    <row r="35" spans="1:18" x14ac:dyDescent="0.45">
      <c r="A35" s="43" t="s">
        <v>158</v>
      </c>
    </row>
    <row r="36" spans="1:18" ht="15" customHeight="1" x14ac:dyDescent="0.45">
      <c r="B36" s="113" t="s">
        <v>159</v>
      </c>
      <c r="C36" s="113"/>
      <c r="D36" s="113"/>
      <c r="E36" s="113"/>
      <c r="F36" s="113"/>
      <c r="H36" s="114" t="s">
        <v>160</v>
      </c>
      <c r="I36" s="114"/>
      <c r="J36" s="114"/>
      <c r="K36" s="114"/>
      <c r="L36" s="114"/>
      <c r="N36" s="115" t="s">
        <v>161</v>
      </c>
      <c r="O36" s="115"/>
      <c r="P36" s="115"/>
      <c r="Q36" s="115"/>
      <c r="R36" s="115"/>
    </row>
    <row r="37" spans="1:18" x14ac:dyDescent="0.45">
      <c r="B37" s="113"/>
      <c r="C37" s="113"/>
      <c r="D37" s="113"/>
      <c r="E37" s="113"/>
      <c r="F37" s="113"/>
      <c r="H37" s="114"/>
      <c r="I37" s="114"/>
      <c r="J37" s="114"/>
      <c r="K37" s="114"/>
      <c r="L37" s="114"/>
      <c r="N37" s="115"/>
      <c r="O37" s="115"/>
      <c r="P37" s="115"/>
      <c r="Q37" s="115"/>
      <c r="R37" s="115"/>
    </row>
    <row r="38" spans="1:18" x14ac:dyDescent="0.45">
      <c r="B38" s="113"/>
      <c r="C38" s="113"/>
      <c r="D38" s="113"/>
      <c r="E38" s="113"/>
      <c r="F38" s="113"/>
      <c r="H38" s="114"/>
      <c r="I38" s="114"/>
      <c r="J38" s="114"/>
      <c r="K38" s="114"/>
      <c r="L38" s="114"/>
      <c r="N38" s="115"/>
      <c r="O38" s="115"/>
      <c r="P38" s="115"/>
      <c r="Q38" s="115"/>
      <c r="R38" s="115"/>
    </row>
  </sheetData>
  <mergeCells count="7">
    <mergeCell ref="A1:F1"/>
    <mergeCell ref="B4:F4"/>
    <mergeCell ref="H4:L4"/>
    <mergeCell ref="N4:R4"/>
    <mergeCell ref="B36:F38"/>
    <mergeCell ref="H36:L38"/>
    <mergeCell ref="N36:R38"/>
  </mergeCell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5B7C-8596-4941-97E5-EDB9E4F78B99}">
  <dimension ref="A1:G48"/>
  <sheetViews>
    <sheetView workbookViewId="0">
      <pane ySplit="4" topLeftCell="A25" activePane="bottomLeft" state="frozen"/>
      <selection pane="bottomLeft"/>
    </sheetView>
  </sheetViews>
  <sheetFormatPr defaultRowHeight="14.25" x14ac:dyDescent="0.45"/>
  <cols>
    <col min="1" max="1" width="39.1328125" customWidth="1"/>
    <col min="2" max="2" width="5.33203125" customWidth="1"/>
    <col min="3" max="7" width="16.86328125" customWidth="1"/>
  </cols>
  <sheetData>
    <row r="1" spans="1:7" ht="17.649999999999999" x14ac:dyDescent="0.5">
      <c r="A1" s="72" t="s">
        <v>486</v>
      </c>
    </row>
    <row r="2" spans="1:7" x14ac:dyDescent="0.45">
      <c r="A2" s="1" t="s">
        <v>487</v>
      </c>
    </row>
    <row r="4" spans="1:7" ht="15.4" x14ac:dyDescent="0.45">
      <c r="A4" s="73" t="s">
        <v>130</v>
      </c>
      <c r="B4" s="74"/>
      <c r="C4" s="75" t="s">
        <v>132</v>
      </c>
      <c r="D4" s="75" t="s">
        <v>133</v>
      </c>
      <c r="E4" s="75" t="s">
        <v>134</v>
      </c>
      <c r="F4" s="75" t="s">
        <v>135</v>
      </c>
      <c r="G4" s="75" t="s">
        <v>136</v>
      </c>
    </row>
    <row r="5" spans="1:7" x14ac:dyDescent="0.45">
      <c r="A5" s="76" t="s">
        <v>488</v>
      </c>
      <c r="B5" s="77"/>
      <c r="C5" s="77"/>
      <c r="D5" s="77"/>
      <c r="E5" s="77"/>
      <c r="F5" s="77"/>
      <c r="G5" s="77"/>
    </row>
    <row r="6" spans="1:7" x14ac:dyDescent="0.45">
      <c r="A6" s="56" t="s">
        <v>489</v>
      </c>
      <c r="B6" s="78" t="s">
        <v>490</v>
      </c>
      <c r="C6" s="79">
        <v>12</v>
      </c>
      <c r="D6" s="79">
        <v>16</v>
      </c>
      <c r="E6" s="79">
        <v>20</v>
      </c>
      <c r="F6" s="79">
        <v>24</v>
      </c>
      <c r="G6" s="79">
        <v>28</v>
      </c>
    </row>
    <row r="7" spans="1:7" x14ac:dyDescent="0.45">
      <c r="A7" s="56" t="s">
        <v>491</v>
      </c>
      <c r="B7" s="78" t="s">
        <v>490</v>
      </c>
      <c r="C7" s="79">
        <v>5</v>
      </c>
      <c r="D7" s="79">
        <v>7</v>
      </c>
      <c r="E7" s="79">
        <v>10</v>
      </c>
      <c r="F7" s="79">
        <v>13</v>
      </c>
      <c r="G7" s="79">
        <v>16</v>
      </c>
    </row>
    <row r="8" spans="1:7" x14ac:dyDescent="0.45">
      <c r="A8" s="56" t="s">
        <v>492</v>
      </c>
      <c r="B8" s="78" t="s">
        <v>490</v>
      </c>
      <c r="C8" s="79">
        <v>4</v>
      </c>
      <c r="D8" s="79">
        <v>6</v>
      </c>
      <c r="E8" s="79">
        <v>8</v>
      </c>
      <c r="F8" s="79">
        <v>10</v>
      </c>
      <c r="G8" s="79">
        <v>12</v>
      </c>
    </row>
    <row r="9" spans="1:7" x14ac:dyDescent="0.45">
      <c r="A9" s="56" t="s">
        <v>493</v>
      </c>
      <c r="B9" s="78" t="s">
        <v>490</v>
      </c>
      <c r="C9" s="79">
        <v>4</v>
      </c>
      <c r="D9" s="79">
        <v>5</v>
      </c>
      <c r="E9" s="79">
        <v>6</v>
      </c>
      <c r="F9" s="79">
        <v>7</v>
      </c>
      <c r="G9" s="79">
        <v>8</v>
      </c>
    </row>
    <row r="10" spans="1:7" x14ac:dyDescent="0.45">
      <c r="A10" s="56" t="s">
        <v>494</v>
      </c>
      <c r="B10" s="78" t="s">
        <v>490</v>
      </c>
      <c r="C10" s="79">
        <v>2</v>
      </c>
      <c r="D10" s="79">
        <v>3</v>
      </c>
      <c r="E10" s="79">
        <v>3</v>
      </c>
      <c r="F10" s="79">
        <v>4</v>
      </c>
      <c r="G10" s="79">
        <v>4</v>
      </c>
    </row>
    <row r="11" spans="1:7" x14ac:dyDescent="0.45">
      <c r="A11" s="56" t="s">
        <v>495</v>
      </c>
      <c r="B11" s="78" t="s">
        <v>490</v>
      </c>
      <c r="C11" s="79">
        <v>5</v>
      </c>
      <c r="D11" s="79">
        <v>6</v>
      </c>
      <c r="E11" s="79">
        <v>7</v>
      </c>
      <c r="F11" s="79">
        <v>8</v>
      </c>
      <c r="G11" s="79">
        <v>9</v>
      </c>
    </row>
    <row r="12" spans="1:7" x14ac:dyDescent="0.45">
      <c r="A12" s="80" t="s">
        <v>496</v>
      </c>
      <c r="B12" s="81"/>
      <c r="C12" s="82">
        <f>SUM(C6:C11)</f>
        <v>32</v>
      </c>
      <c r="D12" s="82">
        <f>SUM(D6:D11)</f>
        <v>43</v>
      </c>
      <c r="E12" s="82">
        <f>SUM(E6:E11)</f>
        <v>54</v>
      </c>
      <c r="F12" s="82">
        <f>SUM(F6:F11)</f>
        <v>66</v>
      </c>
      <c r="G12" s="82">
        <f>SUM(G6:G11)</f>
        <v>77</v>
      </c>
    </row>
    <row r="13" spans="1:7" x14ac:dyDescent="0.45">
      <c r="A13" s="94" t="s">
        <v>497</v>
      </c>
      <c r="B13" s="46"/>
      <c r="C13" s="95">
        <v>137500</v>
      </c>
      <c r="D13" s="95">
        <v>140000</v>
      </c>
      <c r="E13" s="95">
        <v>143000</v>
      </c>
      <c r="F13" s="95">
        <v>146000</v>
      </c>
      <c r="G13" s="95">
        <v>149000</v>
      </c>
    </row>
    <row r="14" spans="1:7" ht="14.65" thickBot="1" x14ac:dyDescent="0.5">
      <c r="A14" s="96" t="s">
        <v>498</v>
      </c>
      <c r="B14" s="97"/>
      <c r="C14" s="98">
        <f>C12*C13</f>
        <v>4400000</v>
      </c>
      <c r="D14" s="98">
        <f>D12*D13</f>
        <v>6020000</v>
      </c>
      <c r="E14" s="98">
        <f>E12*E13</f>
        <v>7722000</v>
      </c>
      <c r="F14" s="98">
        <f>F12*F13</f>
        <v>9636000</v>
      </c>
      <c r="G14" s="98">
        <f>G12*G13</f>
        <v>11473000</v>
      </c>
    </row>
    <row r="15" spans="1:7" x14ac:dyDescent="0.45">
      <c r="A15" s="35"/>
      <c r="B15" s="35"/>
      <c r="C15" s="35"/>
      <c r="D15" s="35"/>
      <c r="E15" s="35"/>
      <c r="F15" s="35"/>
      <c r="G15" s="35"/>
    </row>
    <row r="16" spans="1:7" x14ac:dyDescent="0.45">
      <c r="A16" s="76" t="s">
        <v>499</v>
      </c>
      <c r="B16" s="77"/>
      <c r="C16" s="77"/>
      <c r="D16" s="77"/>
      <c r="E16" s="77"/>
      <c r="F16" s="77"/>
      <c r="G16" s="77"/>
    </row>
    <row r="17" spans="1:7" x14ac:dyDescent="0.45">
      <c r="A17" s="56" t="s">
        <v>500</v>
      </c>
      <c r="B17" s="81"/>
      <c r="C17" s="83">
        <v>240000</v>
      </c>
      <c r="D17" s="84">
        <f>C17*1.4</f>
        <v>336000</v>
      </c>
      <c r="E17" s="84">
        <f>D17*1.35</f>
        <v>453600.00000000006</v>
      </c>
      <c r="F17" s="84">
        <f>E17*1.3</f>
        <v>589680.00000000012</v>
      </c>
      <c r="G17" s="84">
        <f>F17*1.25</f>
        <v>737100.00000000012</v>
      </c>
    </row>
    <row r="18" spans="1:7" x14ac:dyDescent="0.45">
      <c r="A18" s="56" t="s">
        <v>501</v>
      </c>
      <c r="B18" s="81"/>
      <c r="C18" s="83">
        <v>150000</v>
      </c>
      <c r="D18" s="84">
        <f>C18*(D12/C12)</f>
        <v>201562.5</v>
      </c>
      <c r="E18" s="84">
        <f>D18*(E12/D12)</f>
        <v>253125</v>
      </c>
      <c r="F18" s="84">
        <f>E18*(F12/E12)</f>
        <v>309375</v>
      </c>
      <c r="G18" s="84">
        <f>F18*(G12/F12)</f>
        <v>360937.5</v>
      </c>
    </row>
    <row r="19" spans="1:7" x14ac:dyDescent="0.45">
      <c r="A19" s="94" t="s">
        <v>502</v>
      </c>
      <c r="B19" s="46"/>
      <c r="C19" s="99">
        <v>180000</v>
      </c>
      <c r="D19" s="100">
        <f>C19*1.3</f>
        <v>234000</v>
      </c>
      <c r="E19" s="100">
        <f>D19*1.25</f>
        <v>292500</v>
      </c>
      <c r="F19" s="100">
        <f>E19*1.2</f>
        <v>351000</v>
      </c>
      <c r="G19" s="100">
        <f>F19*1.15</f>
        <v>403649.99999999994</v>
      </c>
    </row>
    <row r="20" spans="1:7" ht="14.65" thickBot="1" x14ac:dyDescent="0.5">
      <c r="A20" s="96" t="s">
        <v>503</v>
      </c>
      <c r="B20" s="97"/>
      <c r="C20" s="98">
        <f>SUM(C17:C19)</f>
        <v>570000</v>
      </c>
      <c r="D20" s="98">
        <f>SUM(D17:D19)</f>
        <v>771562.5</v>
      </c>
      <c r="E20" s="98">
        <f>SUM(E17:E19)</f>
        <v>999225</v>
      </c>
      <c r="F20" s="98">
        <f>SUM(F17:F19)</f>
        <v>1250055</v>
      </c>
      <c r="G20" s="98">
        <f>SUM(G17:G19)</f>
        <v>1501687.5</v>
      </c>
    </row>
    <row r="21" spans="1:7" x14ac:dyDescent="0.45">
      <c r="A21" s="35"/>
      <c r="B21" s="35"/>
      <c r="C21" s="35"/>
      <c r="D21" s="35"/>
      <c r="E21" s="35"/>
      <c r="F21" s="35"/>
      <c r="G21" s="35"/>
    </row>
    <row r="22" spans="1:7" x14ac:dyDescent="0.45">
      <c r="A22" s="76" t="s">
        <v>504</v>
      </c>
      <c r="B22" s="77"/>
      <c r="C22" s="77"/>
      <c r="D22" s="77"/>
      <c r="E22" s="77"/>
      <c r="F22" s="77"/>
      <c r="G22" s="77"/>
    </row>
    <row r="23" spans="1:7" x14ac:dyDescent="0.45">
      <c r="A23" s="56" t="s">
        <v>505</v>
      </c>
      <c r="B23" s="81"/>
      <c r="C23" s="83">
        <v>300000</v>
      </c>
      <c r="D23" s="84">
        <f>C23*1.5</f>
        <v>450000</v>
      </c>
      <c r="E23" s="84">
        <f>D23*1.4</f>
        <v>630000</v>
      </c>
      <c r="F23" s="84">
        <f>E23*1.35</f>
        <v>850500</v>
      </c>
      <c r="G23" s="84">
        <f>F23*1.3</f>
        <v>1105650</v>
      </c>
    </row>
    <row r="24" spans="1:7" x14ac:dyDescent="0.45">
      <c r="A24" s="56" t="s">
        <v>506</v>
      </c>
      <c r="B24" s="81"/>
      <c r="C24" s="83">
        <v>80000</v>
      </c>
      <c r="D24" s="83">
        <v>120000</v>
      </c>
      <c r="E24" s="83">
        <v>160000</v>
      </c>
      <c r="F24" s="83">
        <v>200000</v>
      </c>
      <c r="G24" s="83">
        <v>240000</v>
      </c>
    </row>
    <row r="25" spans="1:7" x14ac:dyDescent="0.45">
      <c r="A25" s="94" t="s">
        <v>507</v>
      </c>
      <c r="B25" s="46"/>
      <c r="C25" s="99">
        <v>120000</v>
      </c>
      <c r="D25" s="100">
        <f>C25*1.5</f>
        <v>180000</v>
      </c>
      <c r="E25" s="100">
        <f>D25*1.4</f>
        <v>251999.99999999997</v>
      </c>
      <c r="F25" s="100">
        <f>E25*1.35</f>
        <v>340200</v>
      </c>
      <c r="G25" s="100">
        <f>F25*1.3</f>
        <v>442260</v>
      </c>
    </row>
    <row r="26" spans="1:7" ht="14.65" thickBot="1" x14ac:dyDescent="0.5">
      <c r="A26" s="96" t="s">
        <v>508</v>
      </c>
      <c r="B26" s="97"/>
      <c r="C26" s="98">
        <f>SUM(C23:C25)</f>
        <v>500000</v>
      </c>
      <c r="D26" s="98">
        <f>SUM(D23:D25)</f>
        <v>750000</v>
      </c>
      <c r="E26" s="98">
        <f>SUM(E23:E25)</f>
        <v>1042000</v>
      </c>
      <c r="F26" s="98">
        <f>SUM(F23:F25)</f>
        <v>1390700</v>
      </c>
      <c r="G26" s="98">
        <f>SUM(G23:G25)</f>
        <v>1787910</v>
      </c>
    </row>
    <row r="27" spans="1:7" x14ac:dyDescent="0.45">
      <c r="A27" s="35"/>
      <c r="B27" s="35"/>
      <c r="C27" s="35"/>
      <c r="D27" s="35"/>
      <c r="E27" s="35"/>
      <c r="F27" s="35"/>
      <c r="G27" s="35"/>
    </row>
    <row r="28" spans="1:7" x14ac:dyDescent="0.45">
      <c r="A28" s="76" t="s">
        <v>509</v>
      </c>
      <c r="B28" s="77"/>
      <c r="C28" s="77"/>
      <c r="D28" s="77"/>
      <c r="E28" s="77"/>
      <c r="F28" s="77"/>
      <c r="G28" s="77"/>
    </row>
    <row r="29" spans="1:7" x14ac:dyDescent="0.45">
      <c r="A29" s="56" t="s">
        <v>510</v>
      </c>
      <c r="B29" s="81"/>
      <c r="C29" s="83">
        <v>150000</v>
      </c>
      <c r="D29" s="83">
        <v>180000</v>
      </c>
      <c r="E29" s="83">
        <v>200000</v>
      </c>
      <c r="F29" s="83">
        <v>220000</v>
      </c>
      <c r="G29" s="83">
        <v>240000</v>
      </c>
    </row>
    <row r="30" spans="1:7" x14ac:dyDescent="0.45">
      <c r="A30" s="94" t="s">
        <v>511</v>
      </c>
      <c r="B30" s="46"/>
      <c r="C30" s="99">
        <v>50000</v>
      </c>
      <c r="D30" s="99">
        <v>75000</v>
      </c>
      <c r="E30" s="99">
        <v>100000</v>
      </c>
      <c r="F30" s="99">
        <v>120000</v>
      </c>
      <c r="G30" s="99">
        <v>140000</v>
      </c>
    </row>
    <row r="31" spans="1:7" ht="14.65" thickBot="1" x14ac:dyDescent="0.5">
      <c r="A31" s="96" t="s">
        <v>512</v>
      </c>
      <c r="B31" s="97"/>
      <c r="C31" s="98">
        <f>SUM(C29:C30)</f>
        <v>200000</v>
      </c>
      <c r="D31" s="98">
        <f>SUM(D29:D30)</f>
        <v>255000</v>
      </c>
      <c r="E31" s="98">
        <f>SUM(E29:E30)</f>
        <v>300000</v>
      </c>
      <c r="F31" s="98">
        <f>SUM(F29:F30)</f>
        <v>340000</v>
      </c>
      <c r="G31" s="98">
        <f>SUM(G29:G30)</f>
        <v>380000</v>
      </c>
    </row>
    <row r="32" spans="1:7" x14ac:dyDescent="0.45">
      <c r="A32" s="35"/>
      <c r="B32" s="35"/>
      <c r="C32" s="35"/>
      <c r="D32" s="35"/>
      <c r="E32" s="35"/>
      <c r="F32" s="35"/>
      <c r="G32" s="35"/>
    </row>
    <row r="33" spans="1:7" x14ac:dyDescent="0.45">
      <c r="A33" s="76" t="s">
        <v>513</v>
      </c>
      <c r="B33" s="77"/>
      <c r="C33" s="77"/>
      <c r="D33" s="77"/>
      <c r="E33" s="77"/>
      <c r="F33" s="77"/>
      <c r="G33" s="77"/>
    </row>
    <row r="34" spans="1:7" x14ac:dyDescent="0.45">
      <c r="A34" s="56" t="s">
        <v>514</v>
      </c>
      <c r="B34" s="81"/>
      <c r="C34" s="83">
        <v>200000</v>
      </c>
      <c r="D34" s="83">
        <v>240000</v>
      </c>
      <c r="E34" s="83">
        <v>300000</v>
      </c>
      <c r="F34" s="83">
        <v>360000</v>
      </c>
      <c r="G34" s="83">
        <v>420000</v>
      </c>
    </row>
    <row r="35" spans="1:7" x14ac:dyDescent="0.45">
      <c r="A35" s="56" t="s">
        <v>515</v>
      </c>
      <c r="B35" s="81"/>
      <c r="C35" s="83">
        <v>80000</v>
      </c>
      <c r="D35" s="83">
        <v>100000</v>
      </c>
      <c r="E35" s="83">
        <v>120000</v>
      </c>
      <c r="F35" s="83">
        <v>140000</v>
      </c>
      <c r="G35" s="83">
        <v>160000</v>
      </c>
    </row>
    <row r="36" spans="1:7" x14ac:dyDescent="0.45">
      <c r="A36" s="94" t="s">
        <v>516</v>
      </c>
      <c r="B36" s="46"/>
      <c r="C36" s="99">
        <v>100000</v>
      </c>
      <c r="D36" s="99">
        <v>120000</v>
      </c>
      <c r="E36" s="99">
        <v>140000</v>
      </c>
      <c r="F36" s="99">
        <v>160000</v>
      </c>
      <c r="G36" s="99">
        <v>180000</v>
      </c>
    </row>
    <row r="37" spans="1:7" ht="14.65" thickBot="1" x14ac:dyDescent="0.5">
      <c r="A37" s="96" t="s">
        <v>517</v>
      </c>
      <c r="B37" s="97"/>
      <c r="C37" s="98">
        <f>SUM(C34:C36)</f>
        <v>380000</v>
      </c>
      <c r="D37" s="98">
        <f>SUM(D34:D36)</f>
        <v>460000</v>
      </c>
      <c r="E37" s="98">
        <f>SUM(E34:E36)</f>
        <v>560000</v>
      </c>
      <c r="F37" s="98">
        <f>SUM(F34:F36)</f>
        <v>660000</v>
      </c>
      <c r="G37" s="98">
        <f>SUM(G34:G36)</f>
        <v>760000</v>
      </c>
    </row>
    <row r="39" spans="1:7" ht="15.75" thickBot="1" x14ac:dyDescent="0.5">
      <c r="A39" s="103" t="s">
        <v>518</v>
      </c>
      <c r="B39" s="104"/>
      <c r="C39" s="105">
        <f>C14+C20+C26+C31+C37</f>
        <v>6050000</v>
      </c>
      <c r="D39" s="105">
        <f>D14+D20+D26+D31+D37</f>
        <v>8256562.5</v>
      </c>
      <c r="E39" s="105">
        <f>E14+E20+E26+E31+E37</f>
        <v>10623225</v>
      </c>
      <c r="F39" s="105">
        <f>F14+F20+F26+F31+F37</f>
        <v>13276755</v>
      </c>
      <c r="G39" s="105">
        <f>G14+G20+G26+G31+G37</f>
        <v>15902597.5</v>
      </c>
    </row>
    <row r="40" spans="1:7" x14ac:dyDescent="0.45">
      <c r="A40" s="101" t="s">
        <v>519</v>
      </c>
      <c r="B40" s="35"/>
      <c r="C40" s="102">
        <f>Assumptions!D22</f>
        <v>6050000</v>
      </c>
      <c r="D40" s="35"/>
      <c r="E40" s="35"/>
      <c r="F40" s="35"/>
      <c r="G40" s="35"/>
    </row>
    <row r="41" spans="1:7" x14ac:dyDescent="0.45">
      <c r="A41" s="86" t="s">
        <v>520</v>
      </c>
      <c r="B41" s="81"/>
      <c r="C41" s="87">
        <f>C39-C40</f>
        <v>0</v>
      </c>
      <c r="D41" s="81"/>
      <c r="E41" s="81"/>
      <c r="F41" s="81"/>
      <c r="G41" s="81"/>
    </row>
    <row r="42" spans="1:7" x14ac:dyDescent="0.45">
      <c r="A42" s="81"/>
      <c r="B42" s="81"/>
      <c r="C42" s="81"/>
      <c r="D42" s="81"/>
      <c r="E42" s="81"/>
      <c r="F42" s="81"/>
      <c r="G42" s="81"/>
    </row>
    <row r="43" spans="1:7" x14ac:dyDescent="0.45">
      <c r="A43" s="88" t="s">
        <v>521</v>
      </c>
      <c r="B43" s="85"/>
      <c r="C43" s="89" t="s">
        <v>132</v>
      </c>
      <c r="D43" s="89" t="s">
        <v>133</v>
      </c>
      <c r="E43" s="89" t="s">
        <v>134</v>
      </c>
      <c r="F43" s="89" t="s">
        <v>135</v>
      </c>
      <c r="G43" s="89" t="s">
        <v>136</v>
      </c>
    </row>
    <row r="44" spans="1:7" x14ac:dyDescent="0.45">
      <c r="A44" s="56" t="s">
        <v>522</v>
      </c>
      <c r="B44" s="81"/>
      <c r="C44" s="84">
        <f>C7*C13</f>
        <v>687500</v>
      </c>
      <c r="D44" s="84">
        <f>D7*D13</f>
        <v>980000</v>
      </c>
      <c r="E44" s="84">
        <f>E7*E13</f>
        <v>1430000</v>
      </c>
      <c r="F44" s="84">
        <f>F7*F13</f>
        <v>1898000</v>
      </c>
      <c r="G44" s="84">
        <f>G7*G13</f>
        <v>2384000</v>
      </c>
    </row>
    <row r="45" spans="1:7" x14ac:dyDescent="0.45">
      <c r="A45" s="56" t="s">
        <v>523</v>
      </c>
      <c r="B45" s="81"/>
      <c r="C45" s="84">
        <f>C26</f>
        <v>500000</v>
      </c>
      <c r="D45" s="84">
        <f>D26</f>
        <v>750000</v>
      </c>
      <c r="E45" s="84">
        <f>E26</f>
        <v>1042000</v>
      </c>
      <c r="F45" s="84">
        <f>F26</f>
        <v>1390700</v>
      </c>
      <c r="G45" s="84">
        <f>G26</f>
        <v>1787910</v>
      </c>
    </row>
    <row r="46" spans="1:7" x14ac:dyDescent="0.45">
      <c r="A46" s="80" t="s">
        <v>524</v>
      </c>
      <c r="B46" s="81"/>
      <c r="C46" s="90">
        <f>C44+C45</f>
        <v>1187500</v>
      </c>
      <c r="D46" s="90">
        <f>D44+D45</f>
        <v>1730000</v>
      </c>
      <c r="E46" s="90">
        <f>E44+E45</f>
        <v>2472000</v>
      </c>
      <c r="F46" s="90">
        <f>F44+F45</f>
        <v>3288700</v>
      </c>
      <c r="G46" s="90">
        <f>G44+G45</f>
        <v>4171910</v>
      </c>
    </row>
    <row r="47" spans="1:7" x14ac:dyDescent="0.45">
      <c r="A47" s="56" t="s">
        <v>525</v>
      </c>
      <c r="B47" s="81"/>
      <c r="C47" s="91">
        <f>C46/C39</f>
        <v>0.1962809917355372</v>
      </c>
      <c r="D47" s="91">
        <f>D46/D39</f>
        <v>0.20953029786911925</v>
      </c>
      <c r="E47" s="91">
        <f>E46/E39</f>
        <v>0.23269769773303306</v>
      </c>
      <c r="F47" s="91">
        <f>F46/F39</f>
        <v>0.24770359926051208</v>
      </c>
      <c r="G47" s="91">
        <f>G46/G39</f>
        <v>0.26234141938133065</v>
      </c>
    </row>
    <row r="48" spans="1:7" x14ac:dyDescent="0.45">
      <c r="A48" s="92" t="s">
        <v>526</v>
      </c>
      <c r="B48" s="46"/>
      <c r="C48" s="93">
        <f>Assumptions!D24</f>
        <v>0.28000000000000003</v>
      </c>
      <c r="D48" s="46"/>
      <c r="E48" s="46"/>
      <c r="F48" s="46"/>
      <c r="G48" s="46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zoomScaleNormal="100" workbookViewId="0">
      <selection sqref="A1:J1"/>
    </sheetView>
  </sheetViews>
  <sheetFormatPr defaultColWidth="8.6640625" defaultRowHeight="14.25" x14ac:dyDescent="0.45"/>
  <cols>
    <col min="1" max="1" width="22" customWidth="1"/>
    <col min="2" max="2" width="16" customWidth="1"/>
    <col min="3" max="4" width="18" customWidth="1"/>
    <col min="5" max="9" width="14" customWidth="1"/>
    <col min="10" max="10" width="30" customWidth="1"/>
  </cols>
  <sheetData>
    <row r="1" spans="1:10" ht="17.649999999999999" x14ac:dyDescent="0.5">
      <c r="A1" s="108" t="s">
        <v>162</v>
      </c>
      <c r="B1" s="108"/>
      <c r="C1" s="108"/>
      <c r="D1" s="108"/>
      <c r="E1" s="108"/>
      <c r="F1" s="108"/>
      <c r="G1" s="108"/>
      <c r="H1" s="108"/>
      <c r="I1" s="108"/>
      <c r="J1" s="108"/>
    </row>
    <row r="3" spans="1:10" x14ac:dyDescent="0.45">
      <c r="A3" s="3" t="s">
        <v>163</v>
      </c>
      <c r="B3" s="3" t="s">
        <v>164</v>
      </c>
      <c r="C3" s="3" t="s">
        <v>165</v>
      </c>
      <c r="D3" s="3" t="s">
        <v>166</v>
      </c>
      <c r="E3" s="3" t="s">
        <v>167</v>
      </c>
      <c r="F3" s="3" t="s">
        <v>168</v>
      </c>
      <c r="G3" s="3" t="s">
        <v>169</v>
      </c>
      <c r="H3" s="3" t="s">
        <v>170</v>
      </c>
      <c r="I3" s="3" t="s">
        <v>171</v>
      </c>
      <c r="J3" s="3" t="s">
        <v>172</v>
      </c>
    </row>
    <row r="4" spans="1:10" ht="26.65" x14ac:dyDescent="0.45">
      <c r="A4" s="44" t="s">
        <v>173</v>
      </c>
      <c r="B4" s="44" t="s">
        <v>174</v>
      </c>
      <c r="C4" s="44" t="s">
        <v>529</v>
      </c>
      <c r="D4" s="44" t="s">
        <v>175</v>
      </c>
      <c r="E4" s="44" t="s">
        <v>176</v>
      </c>
      <c r="F4" s="44" t="s">
        <v>176</v>
      </c>
      <c r="G4" s="44" t="s">
        <v>177</v>
      </c>
      <c r="H4" s="44" t="s">
        <v>178</v>
      </c>
      <c r="I4" s="44" t="s">
        <v>179</v>
      </c>
      <c r="J4" s="44" t="s">
        <v>180</v>
      </c>
    </row>
    <row r="5" spans="1:10" ht="26.25" x14ac:dyDescent="0.45">
      <c r="A5" s="5" t="s">
        <v>181</v>
      </c>
      <c r="B5" s="5" t="s">
        <v>182</v>
      </c>
      <c r="C5" s="5" t="s">
        <v>183</v>
      </c>
      <c r="D5" s="5" t="s">
        <v>184</v>
      </c>
      <c r="E5" s="5" t="s">
        <v>176</v>
      </c>
      <c r="F5" s="5" t="s">
        <v>176</v>
      </c>
      <c r="G5" s="5" t="s">
        <v>185</v>
      </c>
      <c r="H5" s="5" t="s">
        <v>186</v>
      </c>
      <c r="I5" s="5" t="s">
        <v>187</v>
      </c>
      <c r="J5" s="5" t="s">
        <v>188</v>
      </c>
    </row>
    <row r="6" spans="1:10" x14ac:dyDescent="0.45">
      <c r="A6" s="5" t="s">
        <v>189</v>
      </c>
      <c r="B6" s="5" t="s">
        <v>190</v>
      </c>
      <c r="C6" s="5" t="s">
        <v>191</v>
      </c>
      <c r="D6" s="5" t="s">
        <v>192</v>
      </c>
      <c r="E6" s="5" t="s">
        <v>176</v>
      </c>
      <c r="F6" s="5" t="s">
        <v>176</v>
      </c>
      <c r="G6" s="5" t="s">
        <v>185</v>
      </c>
      <c r="H6" s="5" t="s">
        <v>193</v>
      </c>
      <c r="I6" s="5" t="s">
        <v>194</v>
      </c>
      <c r="J6" s="5" t="s">
        <v>195</v>
      </c>
    </row>
    <row r="7" spans="1:10" ht="26.25" x14ac:dyDescent="0.45">
      <c r="A7" s="5" t="s">
        <v>196</v>
      </c>
      <c r="B7" s="5" t="s">
        <v>190</v>
      </c>
      <c r="C7" s="5" t="s">
        <v>197</v>
      </c>
      <c r="D7" s="5" t="s">
        <v>198</v>
      </c>
      <c r="E7" s="5" t="s">
        <v>199</v>
      </c>
      <c r="F7" s="5" t="s">
        <v>200</v>
      </c>
      <c r="G7" s="5" t="s">
        <v>185</v>
      </c>
      <c r="H7" s="5" t="s">
        <v>201</v>
      </c>
      <c r="I7" s="5" t="s">
        <v>194</v>
      </c>
      <c r="J7" s="5" t="s">
        <v>202</v>
      </c>
    </row>
    <row r="8" spans="1:10" ht="26.25" x14ac:dyDescent="0.45">
      <c r="A8" s="5" t="s">
        <v>203</v>
      </c>
      <c r="B8" s="5" t="s">
        <v>204</v>
      </c>
      <c r="C8" s="5" t="s">
        <v>205</v>
      </c>
      <c r="D8" s="5" t="s">
        <v>206</v>
      </c>
      <c r="E8" s="5" t="s">
        <v>176</v>
      </c>
      <c r="F8" s="5" t="s">
        <v>176</v>
      </c>
      <c r="G8" s="5" t="s">
        <v>207</v>
      </c>
      <c r="H8" s="5" t="s">
        <v>208</v>
      </c>
      <c r="I8" s="5" t="s">
        <v>209</v>
      </c>
      <c r="J8" s="5" t="s">
        <v>210</v>
      </c>
    </row>
    <row r="9" spans="1:10" x14ac:dyDescent="0.45">
      <c r="A9" s="5" t="s">
        <v>211</v>
      </c>
      <c r="B9" s="5" t="s">
        <v>212</v>
      </c>
      <c r="C9" s="5" t="s">
        <v>213</v>
      </c>
      <c r="D9" s="5" t="s">
        <v>214</v>
      </c>
      <c r="E9" s="5" t="s">
        <v>176</v>
      </c>
      <c r="F9" s="5" t="s">
        <v>176</v>
      </c>
      <c r="G9" s="5" t="s">
        <v>214</v>
      </c>
      <c r="H9" s="5" t="s">
        <v>215</v>
      </c>
      <c r="I9" s="5" t="s">
        <v>209</v>
      </c>
      <c r="J9" s="5" t="s">
        <v>216</v>
      </c>
    </row>
    <row r="10" spans="1:10" ht="26.25" x14ac:dyDescent="0.45">
      <c r="A10" s="5" t="s">
        <v>217</v>
      </c>
      <c r="B10" s="5" t="s">
        <v>218</v>
      </c>
      <c r="C10" s="5" t="s">
        <v>219</v>
      </c>
      <c r="D10" s="5" t="s">
        <v>220</v>
      </c>
      <c r="E10" s="5" t="s">
        <v>221</v>
      </c>
      <c r="F10" s="5" t="s">
        <v>221</v>
      </c>
      <c r="G10" s="5" t="s">
        <v>185</v>
      </c>
      <c r="H10" s="5" t="s">
        <v>222</v>
      </c>
      <c r="I10" s="5" t="s">
        <v>223</v>
      </c>
      <c r="J10" s="5" t="s">
        <v>224</v>
      </c>
    </row>
    <row r="11" spans="1:10" ht="26.25" x14ac:dyDescent="0.45">
      <c r="A11" s="5" t="s">
        <v>225</v>
      </c>
      <c r="B11" s="5" t="s">
        <v>226</v>
      </c>
      <c r="C11" s="5" t="s">
        <v>227</v>
      </c>
      <c r="D11" s="5" t="s">
        <v>228</v>
      </c>
      <c r="E11" s="5" t="s">
        <v>176</v>
      </c>
      <c r="F11" s="5" t="s">
        <v>176</v>
      </c>
      <c r="G11" s="5" t="s">
        <v>177</v>
      </c>
      <c r="H11" s="5" t="s">
        <v>229</v>
      </c>
      <c r="I11" s="5" t="s">
        <v>230</v>
      </c>
      <c r="J11" s="5" t="s">
        <v>231</v>
      </c>
    </row>
    <row r="12" spans="1:10" ht="26.25" x14ac:dyDescent="0.45">
      <c r="A12" s="5" t="s">
        <v>232</v>
      </c>
      <c r="B12" s="5" t="s">
        <v>233</v>
      </c>
      <c r="C12" s="5" t="s">
        <v>234</v>
      </c>
      <c r="D12" s="5" t="s">
        <v>235</v>
      </c>
      <c r="E12" s="5" t="s">
        <v>176</v>
      </c>
      <c r="F12" s="5" t="s">
        <v>176</v>
      </c>
      <c r="G12" s="5" t="s">
        <v>214</v>
      </c>
      <c r="H12" s="5" t="s">
        <v>236</v>
      </c>
      <c r="I12" s="5" t="s">
        <v>209</v>
      </c>
      <c r="J12" s="5" t="s">
        <v>237</v>
      </c>
    </row>
    <row r="13" spans="1:10" ht="26.25" x14ac:dyDescent="0.45">
      <c r="A13" s="5" t="s">
        <v>238</v>
      </c>
      <c r="B13" s="5" t="s">
        <v>239</v>
      </c>
      <c r="C13" s="5" t="s">
        <v>219</v>
      </c>
      <c r="D13" s="5" t="s">
        <v>240</v>
      </c>
      <c r="E13" s="5" t="s">
        <v>221</v>
      </c>
      <c r="F13" s="5" t="s">
        <v>221</v>
      </c>
      <c r="G13" s="5" t="s">
        <v>185</v>
      </c>
      <c r="H13" s="5" t="s">
        <v>241</v>
      </c>
      <c r="I13" s="5" t="s">
        <v>230</v>
      </c>
      <c r="J13" s="5" t="s">
        <v>242</v>
      </c>
    </row>
    <row r="16" spans="1:10" x14ac:dyDescent="0.45">
      <c r="A16" s="29" t="s">
        <v>243</v>
      </c>
    </row>
    <row r="17" spans="1:10" ht="15" customHeight="1" x14ac:dyDescent="0.45">
      <c r="A17" s="116" t="s">
        <v>244</v>
      </c>
      <c r="B17" s="116"/>
      <c r="C17" s="116"/>
      <c r="D17" s="116"/>
      <c r="E17" s="116"/>
      <c r="F17" s="116"/>
      <c r="G17" s="116"/>
      <c r="H17" s="116"/>
      <c r="I17" s="116"/>
      <c r="J17" s="116"/>
    </row>
    <row r="18" spans="1:10" ht="15" customHeight="1" x14ac:dyDescent="0.45">
      <c r="A18" s="116" t="s">
        <v>245</v>
      </c>
      <c r="B18" s="116"/>
      <c r="C18" s="116"/>
      <c r="D18" s="116"/>
      <c r="E18" s="116"/>
      <c r="F18" s="116"/>
      <c r="G18" s="116"/>
      <c r="H18" s="116"/>
      <c r="I18" s="116"/>
      <c r="J18" s="116"/>
    </row>
    <row r="19" spans="1:10" ht="15" customHeight="1" x14ac:dyDescent="0.45">
      <c r="A19" s="116" t="s">
        <v>530</v>
      </c>
      <c r="B19" s="116"/>
      <c r="C19" s="116"/>
      <c r="D19" s="116"/>
      <c r="E19" s="116"/>
      <c r="F19" s="116"/>
      <c r="G19" s="116"/>
      <c r="H19" s="116"/>
      <c r="I19" s="116"/>
      <c r="J19" s="116"/>
    </row>
    <row r="20" spans="1:10" ht="15" customHeight="1" x14ac:dyDescent="0.45">
      <c r="A20" s="116" t="s">
        <v>246</v>
      </c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0" ht="15" customHeight="1" x14ac:dyDescent="0.45">
      <c r="A21" s="116" t="s">
        <v>247</v>
      </c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 ht="15" customHeight="1" x14ac:dyDescent="0.45">
      <c r="A22" s="116" t="s">
        <v>531</v>
      </c>
      <c r="B22" s="116"/>
      <c r="C22" s="116"/>
      <c r="D22" s="116"/>
      <c r="E22" s="116"/>
      <c r="F22" s="116"/>
      <c r="G22" s="116"/>
      <c r="H22" s="116"/>
      <c r="I22" s="116"/>
      <c r="J22" s="116"/>
    </row>
  </sheetData>
  <mergeCells count="7">
    <mergeCell ref="A21:J21"/>
    <mergeCell ref="A22:J22"/>
    <mergeCell ref="A1:J1"/>
    <mergeCell ref="A17:J17"/>
    <mergeCell ref="A18:J18"/>
    <mergeCell ref="A19:J19"/>
    <mergeCell ref="A20:J20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topLeftCell="A3" zoomScaleNormal="100" workbookViewId="0">
      <selection sqref="A1:E1"/>
    </sheetView>
  </sheetViews>
  <sheetFormatPr defaultColWidth="8.6640625" defaultRowHeight="14.25" x14ac:dyDescent="0.45"/>
  <cols>
    <col min="1" max="1" width="25" customWidth="1"/>
    <col min="2" max="2" width="30" customWidth="1"/>
    <col min="3" max="3" width="35" customWidth="1"/>
    <col min="4" max="4" width="20" customWidth="1"/>
    <col min="5" max="5" width="30" customWidth="1"/>
  </cols>
  <sheetData>
    <row r="1" spans="1:5" ht="17.649999999999999" x14ac:dyDescent="0.5">
      <c r="A1" s="108" t="s">
        <v>248</v>
      </c>
      <c r="B1" s="108"/>
      <c r="C1" s="108"/>
      <c r="D1" s="108"/>
      <c r="E1" s="108"/>
    </row>
    <row r="2" spans="1:5" x14ac:dyDescent="0.45">
      <c r="A2" s="109" t="s">
        <v>249</v>
      </c>
      <c r="B2" s="109"/>
      <c r="C2" s="109"/>
      <c r="D2" s="109"/>
      <c r="E2" s="109"/>
    </row>
    <row r="4" spans="1:5" x14ac:dyDescent="0.45">
      <c r="A4" s="3" t="s">
        <v>250</v>
      </c>
      <c r="B4" s="3" t="s">
        <v>251</v>
      </c>
      <c r="C4" s="3" t="s">
        <v>252</v>
      </c>
      <c r="D4" s="3" t="s">
        <v>253</v>
      </c>
      <c r="E4" s="3" t="s">
        <v>254</v>
      </c>
    </row>
    <row r="5" spans="1:5" ht="26.25" x14ac:dyDescent="0.45">
      <c r="A5" s="5" t="s">
        <v>255</v>
      </c>
      <c r="B5" s="5" t="s">
        <v>256</v>
      </c>
      <c r="C5" s="5" t="s">
        <v>257</v>
      </c>
      <c r="D5" s="5" t="s">
        <v>258</v>
      </c>
      <c r="E5" s="5" t="s">
        <v>259</v>
      </c>
    </row>
    <row r="6" spans="1:5" ht="26.25" x14ac:dyDescent="0.45">
      <c r="A6" s="5" t="s">
        <v>255</v>
      </c>
      <c r="B6" s="5" t="s">
        <v>260</v>
      </c>
      <c r="C6" s="5" t="s">
        <v>261</v>
      </c>
      <c r="D6" s="5" t="s">
        <v>262</v>
      </c>
      <c r="E6" s="5" t="s">
        <v>263</v>
      </c>
    </row>
    <row r="7" spans="1:5" ht="26.25" x14ac:dyDescent="0.45">
      <c r="A7" s="5" t="s">
        <v>264</v>
      </c>
      <c r="B7" s="5" t="s">
        <v>265</v>
      </c>
      <c r="C7" s="5" t="s">
        <v>266</v>
      </c>
      <c r="D7" s="5" t="s">
        <v>267</v>
      </c>
      <c r="E7" s="5" t="s">
        <v>259</v>
      </c>
    </row>
    <row r="8" spans="1:5" ht="26.25" x14ac:dyDescent="0.45">
      <c r="A8" s="5" t="s">
        <v>268</v>
      </c>
      <c r="B8" s="5" t="s">
        <v>269</v>
      </c>
      <c r="C8" s="5" t="s">
        <v>270</v>
      </c>
      <c r="D8" s="5" t="s">
        <v>271</v>
      </c>
      <c r="E8" s="5" t="s">
        <v>272</v>
      </c>
    </row>
    <row r="9" spans="1:5" ht="26.25" x14ac:dyDescent="0.45">
      <c r="A9" s="5" t="s">
        <v>273</v>
      </c>
      <c r="B9" s="5" t="s">
        <v>274</v>
      </c>
      <c r="C9" s="5" t="s">
        <v>275</v>
      </c>
      <c r="D9" s="5" t="s">
        <v>276</v>
      </c>
      <c r="E9" s="5" t="s">
        <v>259</v>
      </c>
    </row>
    <row r="10" spans="1:5" ht="26.25" x14ac:dyDescent="0.45">
      <c r="A10" s="5" t="s">
        <v>277</v>
      </c>
      <c r="B10" s="5" t="s">
        <v>278</v>
      </c>
      <c r="C10" s="5" t="s">
        <v>279</v>
      </c>
      <c r="D10" s="5" t="s">
        <v>280</v>
      </c>
      <c r="E10" s="5" t="s">
        <v>281</v>
      </c>
    </row>
    <row r="11" spans="1:5" ht="26.25" x14ac:dyDescent="0.45">
      <c r="A11" s="5" t="s">
        <v>282</v>
      </c>
      <c r="B11" s="5" t="s">
        <v>283</v>
      </c>
      <c r="C11" s="5" t="s">
        <v>284</v>
      </c>
      <c r="D11" s="5" t="s">
        <v>285</v>
      </c>
      <c r="E11" s="5" t="s">
        <v>281</v>
      </c>
    </row>
    <row r="12" spans="1:5" ht="26.25" x14ac:dyDescent="0.45">
      <c r="A12" s="5" t="s">
        <v>282</v>
      </c>
      <c r="B12" s="5" t="s">
        <v>286</v>
      </c>
      <c r="C12" s="5" t="s">
        <v>287</v>
      </c>
      <c r="D12" s="5" t="s">
        <v>288</v>
      </c>
      <c r="E12" s="5" t="s">
        <v>289</v>
      </c>
    </row>
    <row r="13" spans="1:5" ht="26.25" x14ac:dyDescent="0.45">
      <c r="A13" s="5" t="s">
        <v>290</v>
      </c>
      <c r="B13" s="5" t="s">
        <v>291</v>
      </c>
      <c r="C13" s="5" t="s">
        <v>292</v>
      </c>
      <c r="D13" s="5" t="s">
        <v>293</v>
      </c>
      <c r="E13" s="5" t="s">
        <v>294</v>
      </c>
    </row>
    <row r="14" spans="1:5" ht="26.25" x14ac:dyDescent="0.45">
      <c r="A14" s="5" t="s">
        <v>295</v>
      </c>
      <c r="B14" s="5" t="s">
        <v>296</v>
      </c>
      <c r="C14" s="5" t="s">
        <v>297</v>
      </c>
      <c r="D14" s="5" t="s">
        <v>298</v>
      </c>
      <c r="E14" s="5" t="s">
        <v>299</v>
      </c>
    </row>
    <row r="15" spans="1:5" ht="26.25" x14ac:dyDescent="0.45">
      <c r="A15" s="5" t="s">
        <v>300</v>
      </c>
      <c r="B15" s="5" t="s">
        <v>301</v>
      </c>
      <c r="C15" s="5" t="s">
        <v>302</v>
      </c>
      <c r="D15" s="5" t="s">
        <v>303</v>
      </c>
      <c r="E15" s="5" t="s">
        <v>304</v>
      </c>
    </row>
    <row r="16" spans="1:5" ht="26.25" x14ac:dyDescent="0.45">
      <c r="A16" s="5" t="s">
        <v>300</v>
      </c>
      <c r="B16" s="5" t="s">
        <v>305</v>
      </c>
      <c r="C16" s="5" t="s">
        <v>306</v>
      </c>
      <c r="D16" s="5" t="s">
        <v>307</v>
      </c>
      <c r="E16" s="5" t="s">
        <v>132</v>
      </c>
    </row>
    <row r="17" spans="1:5" ht="26.25" x14ac:dyDescent="0.45">
      <c r="A17" s="5" t="s">
        <v>308</v>
      </c>
      <c r="B17" s="5" t="s">
        <v>309</v>
      </c>
      <c r="C17" s="5" t="s">
        <v>310</v>
      </c>
      <c r="D17" s="5" t="s">
        <v>280</v>
      </c>
      <c r="E17" s="5" t="s">
        <v>259</v>
      </c>
    </row>
    <row r="18" spans="1:5" ht="26.25" x14ac:dyDescent="0.45">
      <c r="A18" s="5" t="s">
        <v>311</v>
      </c>
      <c r="B18" s="5" t="s">
        <v>312</v>
      </c>
      <c r="C18" s="5" t="s">
        <v>313</v>
      </c>
      <c r="D18" s="5" t="s">
        <v>314</v>
      </c>
      <c r="E18" s="5" t="s">
        <v>289</v>
      </c>
    </row>
    <row r="19" spans="1:5" ht="26.25" x14ac:dyDescent="0.45">
      <c r="A19" s="5" t="s">
        <v>315</v>
      </c>
      <c r="B19" s="5" t="s">
        <v>316</v>
      </c>
      <c r="C19" s="5" t="s">
        <v>317</v>
      </c>
      <c r="D19" s="5" t="s">
        <v>293</v>
      </c>
      <c r="E19" s="5" t="s">
        <v>318</v>
      </c>
    </row>
    <row r="20" spans="1:5" ht="26.25" x14ac:dyDescent="0.45">
      <c r="A20" s="5" t="s">
        <v>319</v>
      </c>
      <c r="B20" s="5" t="s">
        <v>320</v>
      </c>
      <c r="C20" s="5" t="s">
        <v>321</v>
      </c>
      <c r="D20" s="5" t="s">
        <v>322</v>
      </c>
      <c r="E20" s="5" t="s">
        <v>323</v>
      </c>
    </row>
    <row r="23" spans="1:5" x14ac:dyDescent="0.45">
      <c r="A23" s="29" t="s">
        <v>324</v>
      </c>
    </row>
    <row r="24" spans="1:5" ht="15" customHeight="1" x14ac:dyDescent="0.45">
      <c r="A24" s="31" t="s">
        <v>325</v>
      </c>
      <c r="B24" s="116" t="s">
        <v>326</v>
      </c>
      <c r="C24" s="116"/>
      <c r="D24" s="116"/>
      <c r="E24" s="116"/>
    </row>
    <row r="25" spans="1:5" ht="15" customHeight="1" x14ac:dyDescent="0.45">
      <c r="A25" s="31" t="s">
        <v>327</v>
      </c>
      <c r="B25" s="116" t="s">
        <v>328</v>
      </c>
      <c r="C25" s="116"/>
      <c r="D25" s="116"/>
      <c r="E25" s="116"/>
    </row>
    <row r="26" spans="1:5" ht="15" customHeight="1" x14ac:dyDescent="0.45">
      <c r="A26" s="31" t="s">
        <v>329</v>
      </c>
      <c r="B26" s="116" t="s">
        <v>330</v>
      </c>
      <c r="C26" s="116"/>
      <c r="D26" s="116"/>
      <c r="E26" s="116"/>
    </row>
    <row r="27" spans="1:5" ht="15" customHeight="1" x14ac:dyDescent="0.45">
      <c r="A27" s="31" t="s">
        <v>331</v>
      </c>
      <c r="B27" s="116" t="s">
        <v>332</v>
      </c>
      <c r="C27" s="116"/>
      <c r="D27" s="116"/>
      <c r="E27" s="116"/>
    </row>
  </sheetData>
  <mergeCells count="6">
    <mergeCell ref="B27:E27"/>
    <mergeCell ref="A1:E1"/>
    <mergeCell ref="A2:E2"/>
    <mergeCell ref="B24:E24"/>
    <mergeCell ref="B25:E25"/>
    <mergeCell ref="B26:E2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zoomScaleNormal="100" workbookViewId="0">
      <selection sqref="A1:D1"/>
    </sheetView>
  </sheetViews>
  <sheetFormatPr defaultColWidth="8.6640625" defaultRowHeight="14.25" x14ac:dyDescent="0.45"/>
  <cols>
    <col min="1" max="1" width="8" customWidth="1"/>
    <col min="2" max="2" width="40" customWidth="1"/>
    <col min="3" max="3" width="60" customWidth="1"/>
    <col min="4" max="4" width="25" customWidth="1"/>
  </cols>
  <sheetData>
    <row r="1" spans="1:4" ht="17.649999999999999" x14ac:dyDescent="0.5">
      <c r="A1" s="108" t="s">
        <v>333</v>
      </c>
      <c r="B1" s="108"/>
      <c r="C1" s="108"/>
      <c r="D1" s="108"/>
    </row>
    <row r="3" spans="1:4" x14ac:dyDescent="0.45">
      <c r="A3" s="3" t="s">
        <v>62</v>
      </c>
      <c r="B3" s="3" t="s">
        <v>334</v>
      </c>
      <c r="C3" s="3" t="s">
        <v>335</v>
      </c>
      <c r="D3" s="3" t="s">
        <v>336</v>
      </c>
    </row>
    <row r="4" spans="1:4" x14ac:dyDescent="0.45">
      <c r="A4" s="5" t="s">
        <v>337</v>
      </c>
      <c r="B4" s="5" t="s">
        <v>338</v>
      </c>
      <c r="C4" s="5" t="s">
        <v>339</v>
      </c>
      <c r="D4" s="5" t="s">
        <v>340</v>
      </c>
    </row>
    <row r="5" spans="1:4" x14ac:dyDescent="0.45">
      <c r="A5" s="5" t="s">
        <v>341</v>
      </c>
      <c r="B5" s="5" t="s">
        <v>342</v>
      </c>
      <c r="C5" s="5" t="s">
        <v>343</v>
      </c>
      <c r="D5" s="5" t="s">
        <v>344</v>
      </c>
    </row>
    <row r="6" spans="1:4" x14ac:dyDescent="0.45">
      <c r="A6" s="5" t="s">
        <v>345</v>
      </c>
      <c r="B6" s="5" t="s">
        <v>346</v>
      </c>
      <c r="C6" s="5" t="s">
        <v>347</v>
      </c>
      <c r="D6" s="5" t="s">
        <v>344</v>
      </c>
    </row>
    <row r="7" spans="1:4" x14ac:dyDescent="0.45">
      <c r="A7" s="5" t="s">
        <v>348</v>
      </c>
      <c r="B7" s="5" t="s">
        <v>349</v>
      </c>
      <c r="C7" s="5" t="s">
        <v>350</v>
      </c>
      <c r="D7" s="5" t="s">
        <v>340</v>
      </c>
    </row>
    <row r="8" spans="1:4" x14ac:dyDescent="0.45">
      <c r="A8" s="5" t="s">
        <v>351</v>
      </c>
      <c r="B8" s="5" t="s">
        <v>352</v>
      </c>
      <c r="C8" s="5" t="s">
        <v>353</v>
      </c>
      <c r="D8" s="5" t="s">
        <v>354</v>
      </c>
    </row>
    <row r="9" spans="1:4" x14ac:dyDescent="0.45">
      <c r="A9" s="5" t="s">
        <v>355</v>
      </c>
      <c r="B9" s="5" t="s">
        <v>356</v>
      </c>
      <c r="C9" s="5" t="s">
        <v>353</v>
      </c>
      <c r="D9" s="5" t="s">
        <v>344</v>
      </c>
    </row>
    <row r="10" spans="1:4" x14ac:dyDescent="0.45">
      <c r="A10" s="5" t="s">
        <v>357</v>
      </c>
      <c r="B10" s="5" t="s">
        <v>358</v>
      </c>
      <c r="C10" s="5" t="s">
        <v>359</v>
      </c>
      <c r="D10" s="5" t="s">
        <v>344</v>
      </c>
    </row>
    <row r="11" spans="1:4" x14ac:dyDescent="0.45">
      <c r="A11" s="5" t="s">
        <v>360</v>
      </c>
      <c r="B11" s="5" t="s">
        <v>361</v>
      </c>
      <c r="C11" s="5" t="s">
        <v>362</v>
      </c>
      <c r="D11" s="5" t="s">
        <v>354</v>
      </c>
    </row>
    <row r="12" spans="1:4" x14ac:dyDescent="0.45">
      <c r="A12" s="5" t="s">
        <v>363</v>
      </c>
      <c r="B12" s="5" t="s">
        <v>364</v>
      </c>
      <c r="C12" s="5" t="s">
        <v>365</v>
      </c>
      <c r="D12" s="5" t="s">
        <v>366</v>
      </c>
    </row>
    <row r="13" spans="1:4" x14ac:dyDescent="0.45">
      <c r="A13" s="5" t="s">
        <v>367</v>
      </c>
      <c r="B13" s="5" t="s">
        <v>368</v>
      </c>
      <c r="C13" s="5" t="s">
        <v>365</v>
      </c>
      <c r="D13" s="5" t="s">
        <v>369</v>
      </c>
    </row>
    <row r="14" spans="1:4" x14ac:dyDescent="0.45">
      <c r="A14" s="5" t="s">
        <v>370</v>
      </c>
      <c r="B14" s="5" t="s">
        <v>371</v>
      </c>
      <c r="C14" s="5" t="s">
        <v>372</v>
      </c>
      <c r="D14" s="5" t="s">
        <v>373</v>
      </c>
    </row>
    <row r="15" spans="1:4" x14ac:dyDescent="0.45">
      <c r="A15" s="5" t="s">
        <v>374</v>
      </c>
      <c r="B15" s="5" t="s">
        <v>375</v>
      </c>
      <c r="C15" s="5" t="s">
        <v>376</v>
      </c>
      <c r="D15" s="5" t="s">
        <v>377</v>
      </c>
    </row>
    <row r="16" spans="1:4" x14ac:dyDescent="0.45">
      <c r="A16" s="5" t="s">
        <v>378</v>
      </c>
      <c r="B16" s="5" t="s">
        <v>379</v>
      </c>
      <c r="C16" s="5" t="s">
        <v>380</v>
      </c>
      <c r="D16" s="5" t="s">
        <v>373</v>
      </c>
    </row>
    <row r="17" spans="1:4" x14ac:dyDescent="0.45">
      <c r="A17" s="5" t="s">
        <v>381</v>
      </c>
      <c r="B17" s="5" t="s">
        <v>382</v>
      </c>
      <c r="C17" s="5" t="s">
        <v>383</v>
      </c>
      <c r="D17" s="5" t="s">
        <v>373</v>
      </c>
    </row>
    <row r="18" spans="1:4" ht="26.25" x14ac:dyDescent="0.45">
      <c r="A18" s="5" t="s">
        <v>384</v>
      </c>
      <c r="B18" s="5" t="s">
        <v>532</v>
      </c>
      <c r="C18" s="5" t="s">
        <v>533</v>
      </c>
      <c r="D18" s="5" t="s">
        <v>385</v>
      </c>
    </row>
    <row r="19" spans="1:4" x14ac:dyDescent="0.45">
      <c r="A19" s="5" t="s">
        <v>386</v>
      </c>
      <c r="B19" s="5" t="s">
        <v>387</v>
      </c>
      <c r="C19" s="5" t="s">
        <v>388</v>
      </c>
      <c r="D19" s="5" t="s">
        <v>389</v>
      </c>
    </row>
    <row r="20" spans="1:4" x14ac:dyDescent="0.45">
      <c r="A20" s="5" t="s">
        <v>390</v>
      </c>
      <c r="B20" s="5" t="s">
        <v>391</v>
      </c>
      <c r="C20" s="5" t="s">
        <v>392</v>
      </c>
      <c r="D20" s="5" t="s">
        <v>354</v>
      </c>
    </row>
    <row r="21" spans="1:4" x14ac:dyDescent="0.45">
      <c r="A21" s="5" t="s">
        <v>393</v>
      </c>
      <c r="B21" s="5" t="s">
        <v>394</v>
      </c>
      <c r="C21" s="5" t="s">
        <v>395</v>
      </c>
      <c r="D21" s="5" t="s">
        <v>373</v>
      </c>
    </row>
    <row r="22" spans="1:4" x14ac:dyDescent="0.45">
      <c r="A22" s="5" t="s">
        <v>396</v>
      </c>
      <c r="B22" s="5" t="s">
        <v>397</v>
      </c>
      <c r="C22" s="5" t="s">
        <v>398</v>
      </c>
      <c r="D22" s="5" t="s">
        <v>373</v>
      </c>
    </row>
    <row r="23" spans="1:4" x14ac:dyDescent="0.45">
      <c r="A23" s="5" t="s">
        <v>399</v>
      </c>
      <c r="B23" s="5" t="s">
        <v>400</v>
      </c>
      <c r="C23" s="5" t="s">
        <v>401</v>
      </c>
      <c r="D23" s="5" t="s">
        <v>373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Exec Summary</vt:lpstr>
      <vt:lpstr>Assumptions</vt:lpstr>
      <vt:lpstr>Revenue Model</vt:lpstr>
      <vt:lpstr>OpEx Breakdown</vt:lpstr>
      <vt:lpstr>Competitive Analysis</vt:lpstr>
      <vt:lpstr>Finance Stack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Fahad Younus</cp:lastModifiedBy>
  <cp:revision>0</cp:revision>
  <dcterms:created xsi:type="dcterms:W3CDTF">2026-04-07T13:40:26Z</dcterms:created>
  <dcterms:modified xsi:type="dcterms:W3CDTF">2026-04-07T17:19:45Z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